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mpanyweb\DavWWWRoot\sites\A4AA-Home\Fiscal\Shared Documents\FiscalWorksheets\Mike\2018-19 County Match\"/>
    </mc:Choice>
  </mc:AlternateContent>
  <bookViews>
    <workbookView xWindow="0" yWindow="0" windowWidth="28800" windowHeight="12450" tabRatio="765" firstSheet="2" activeTab="2"/>
  </bookViews>
  <sheets>
    <sheet name="FY 16-17 $0.78" sheetId="9" state="hidden" r:id="rId1"/>
    <sheet name="FY 17-18 $0.90" sheetId="12" state="hidden" r:id="rId2"/>
    <sheet name="Table" sheetId="19" r:id="rId3"/>
    <sheet name="New Style B" sheetId="20" state="hidden" r:id="rId4"/>
    <sheet name="Old Style" sheetId="2" state="hidden" r:id="rId5"/>
    <sheet name="Chart1 CA" sheetId="14" r:id="rId6"/>
    <sheet name="Chart2 CA" sheetId="15" r:id="rId7"/>
    <sheet name="Data CA" sheetId="13" r:id="rId8"/>
    <sheet name="Chart1 CA (2)" sheetId="16" state="hidden" r:id="rId9"/>
    <sheet name="Chart2 CA (2)" sheetId="17" state="hidden" r:id="rId10"/>
    <sheet name="Chart1" sheetId="4" state="hidden" r:id="rId11"/>
    <sheet name="Chart2" sheetId="6" state="hidden" r:id="rId12"/>
    <sheet name="Data" sheetId="1" state="hidden" r:id="rId13"/>
    <sheet name="2014-15" sheetId="3" state="hidden" r:id="rId14"/>
  </sheets>
  <definedNames>
    <definedName name="_xlnm.Print_Area" localSheetId="12">Data!$B$1:$U$45</definedName>
    <definedName name="_xlnm.Print_Area" localSheetId="7">'Data CA'!$B$1:$V$45</definedName>
    <definedName name="_xlnm.Print_Area" localSheetId="0">'FY 16-17 $0.78'!$A$1:$F$29</definedName>
    <definedName name="_xlnm.Print_Area" localSheetId="1">'FY 17-18 $0.90'!$A$1:$F$29</definedName>
    <definedName name="_xlnm.Print_Area" localSheetId="3">'New Style B'!$B$1:$K$50</definedName>
    <definedName name="_xlnm.Print_Area" localSheetId="4">'Old Style'!$A$1:$F$29</definedName>
    <definedName name="_xlnm.Print_Area" localSheetId="2">Table!$B$1:$H$28</definedName>
  </definedNames>
  <calcPr calcId="152511" iterateDelta="25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9" l="1"/>
  <c r="K8" i="19"/>
  <c r="K9" i="19"/>
  <c r="F10" i="19"/>
  <c r="K10" i="19"/>
  <c r="E8" i="19" s="1"/>
  <c r="H11" i="19"/>
  <c r="K11" i="19"/>
  <c r="E12" i="19"/>
  <c r="G12" i="19" s="1"/>
  <c r="F12" i="19"/>
  <c r="E13" i="19"/>
  <c r="G13" i="19" s="1"/>
  <c r="F13" i="19"/>
  <c r="E14" i="19"/>
  <c r="G14" i="19" s="1"/>
  <c r="F14" i="19"/>
  <c r="C15" i="19"/>
  <c r="D15" i="19"/>
  <c r="L10" i="19" s="1"/>
  <c r="D21" i="19"/>
  <c r="E21" i="19"/>
  <c r="F21" i="19"/>
  <c r="G21" i="19"/>
  <c r="H21" i="19"/>
  <c r="D22" i="19"/>
  <c r="D28" i="19" s="1"/>
  <c r="L11" i="19" s="1"/>
  <c r="E22" i="19"/>
  <c r="G22" i="19" s="1"/>
  <c r="F22" i="19"/>
  <c r="H22" i="19"/>
  <c r="H28" i="19" s="1"/>
  <c r="D23" i="19"/>
  <c r="F23" i="19" s="1"/>
  <c r="E23" i="19"/>
  <c r="G23" i="19" s="1"/>
  <c r="H23" i="19"/>
  <c r="D24" i="19"/>
  <c r="E24" i="19" s="1"/>
  <c r="H24" i="19"/>
  <c r="D25" i="19"/>
  <c r="E25" i="19"/>
  <c r="F25" i="19"/>
  <c r="G25" i="19"/>
  <c r="H25" i="19"/>
  <c r="D26" i="19"/>
  <c r="E26" i="19"/>
  <c r="G26" i="19" s="1"/>
  <c r="F26" i="19"/>
  <c r="H26" i="19"/>
  <c r="D27" i="19"/>
  <c r="F27" i="19" s="1"/>
  <c r="E27" i="19"/>
  <c r="G27" i="19" s="1"/>
  <c r="H27" i="19"/>
  <c r="C28" i="19"/>
  <c r="F28" i="19" l="1"/>
  <c r="E15" i="19"/>
  <c r="E10" i="19"/>
  <c r="G10" i="19" s="1"/>
  <c r="F9" i="19"/>
  <c r="E28" i="19"/>
  <c r="F24" i="19"/>
  <c r="G24" i="19" s="1"/>
  <c r="G28" i="19" s="1"/>
  <c r="H14" i="19"/>
  <c r="H13" i="19"/>
  <c r="H12" i="19"/>
  <c r="F11" i="19"/>
  <c r="H10" i="19"/>
  <c r="E9" i="19"/>
  <c r="G9" i="19" s="1"/>
  <c r="F8" i="19"/>
  <c r="F15" i="19" s="1"/>
  <c r="E11" i="19"/>
  <c r="G11" i="19" s="1"/>
  <c r="H9" i="19"/>
  <c r="X19" i="13"/>
  <c r="X20" i="13" s="1"/>
  <c r="X23" i="13" s="1"/>
  <c r="X29" i="13" s="1"/>
  <c r="X27" i="13" s="1"/>
  <c r="X36" i="13"/>
  <c r="H15" i="19" l="1"/>
  <c r="G8" i="19"/>
  <c r="G15" i="19" s="1"/>
  <c r="X30" i="13"/>
  <c r="X31" i="13" s="1"/>
  <c r="X21" i="13"/>
  <c r="X24" i="13" s="1"/>
  <c r="W36" i="13"/>
  <c r="W20" i="13"/>
  <c r="W23" i="13" s="1"/>
  <c r="C47" i="20" l="1"/>
  <c r="H46" i="20"/>
  <c r="N46" i="20" s="1"/>
  <c r="O46" i="20" s="1"/>
  <c r="F46" i="20"/>
  <c r="D46" i="20"/>
  <c r="E46" i="20" s="1"/>
  <c r="G46" i="20" s="1"/>
  <c r="H45" i="20"/>
  <c r="F45" i="20"/>
  <c r="D45" i="20"/>
  <c r="E45" i="20" s="1"/>
  <c r="G45" i="20" s="1"/>
  <c r="H44" i="20"/>
  <c r="N44" i="20" s="1"/>
  <c r="O44" i="20" s="1"/>
  <c r="F44" i="20"/>
  <c r="D44" i="20"/>
  <c r="E44" i="20" s="1"/>
  <c r="G44" i="20" s="1"/>
  <c r="H43" i="20"/>
  <c r="F43" i="20"/>
  <c r="D43" i="20"/>
  <c r="E43" i="20" s="1"/>
  <c r="G43" i="20" s="1"/>
  <c r="H42" i="20"/>
  <c r="N42" i="20" s="1"/>
  <c r="O42" i="20" s="1"/>
  <c r="F42" i="20"/>
  <c r="D42" i="20"/>
  <c r="E42" i="20" s="1"/>
  <c r="G42" i="20" s="1"/>
  <c r="H41" i="20"/>
  <c r="N41" i="20" s="1"/>
  <c r="O41" i="20" s="1"/>
  <c r="F41" i="20"/>
  <c r="D41" i="20"/>
  <c r="E41" i="20" s="1"/>
  <c r="G41" i="20" s="1"/>
  <c r="H40" i="20"/>
  <c r="H47" i="20" s="1"/>
  <c r="F40" i="20"/>
  <c r="F47" i="20" s="1"/>
  <c r="D40" i="20"/>
  <c r="D47" i="20" s="1"/>
  <c r="O11" i="20" s="1"/>
  <c r="J31" i="20"/>
  <c r="C31" i="20"/>
  <c r="K30" i="20"/>
  <c r="H30" i="20"/>
  <c r="E30" i="20"/>
  <c r="D30" i="20"/>
  <c r="S30" i="20" s="1"/>
  <c r="H29" i="20"/>
  <c r="K29" i="20" s="1"/>
  <c r="D29" i="20"/>
  <c r="S29" i="20" s="1"/>
  <c r="K28" i="20"/>
  <c r="H28" i="20"/>
  <c r="E28" i="20"/>
  <c r="D28" i="20"/>
  <c r="S28" i="20" s="1"/>
  <c r="S27" i="20"/>
  <c r="H27" i="20"/>
  <c r="K27" i="20" s="1"/>
  <c r="F27" i="20"/>
  <c r="D27" i="20"/>
  <c r="E27" i="20" s="1"/>
  <c r="G27" i="20" s="1"/>
  <c r="K26" i="20"/>
  <c r="H26" i="20"/>
  <c r="E26" i="20"/>
  <c r="D26" i="20"/>
  <c r="S26" i="20" s="1"/>
  <c r="H25" i="20"/>
  <c r="K25" i="20" s="1"/>
  <c r="D25" i="20"/>
  <c r="S25" i="20" s="1"/>
  <c r="K24" i="20"/>
  <c r="H24" i="20"/>
  <c r="H31" i="20" s="1"/>
  <c r="H34" i="20" s="1"/>
  <c r="E24" i="20"/>
  <c r="D24" i="20"/>
  <c r="D31" i="20" s="1"/>
  <c r="O10" i="20" s="1"/>
  <c r="J15" i="20"/>
  <c r="D15" i="20"/>
  <c r="O9" i="20" s="1"/>
  <c r="C15" i="20"/>
  <c r="S14" i="20"/>
  <c r="H14" i="20"/>
  <c r="K14" i="20" s="1"/>
  <c r="F14" i="20"/>
  <c r="E14" i="20"/>
  <c r="G14" i="20" s="1"/>
  <c r="S13" i="20"/>
  <c r="H13" i="20"/>
  <c r="K13" i="20" s="1"/>
  <c r="F13" i="20"/>
  <c r="E13" i="20"/>
  <c r="G13" i="20" s="1"/>
  <c r="S12" i="20"/>
  <c r="H12" i="20"/>
  <c r="K12" i="20" s="1"/>
  <c r="F12" i="20"/>
  <c r="E12" i="20"/>
  <c r="G12" i="20" s="1"/>
  <c r="S11" i="20"/>
  <c r="H11" i="20"/>
  <c r="K11" i="20" s="1"/>
  <c r="F11" i="20"/>
  <c r="E11" i="20"/>
  <c r="G11" i="20" s="1"/>
  <c r="S10" i="20"/>
  <c r="H10" i="20"/>
  <c r="K10" i="20" s="1"/>
  <c r="F10" i="20"/>
  <c r="G10" i="20" s="1"/>
  <c r="E10" i="20"/>
  <c r="S9" i="20"/>
  <c r="K9" i="20"/>
  <c r="H9" i="20"/>
  <c r="G9" i="20"/>
  <c r="F9" i="20"/>
  <c r="E9" i="20"/>
  <c r="S8" i="20"/>
  <c r="S15" i="20" s="1"/>
  <c r="K8" i="20"/>
  <c r="H8" i="20"/>
  <c r="F8" i="20"/>
  <c r="F15" i="20" s="1"/>
  <c r="E8" i="20"/>
  <c r="G8" i="20" s="1"/>
  <c r="G15" i="20" s="1"/>
  <c r="K31" i="20" l="1"/>
  <c r="N43" i="20"/>
  <c r="O43" i="20" s="1"/>
  <c r="N45" i="20"/>
  <c r="O45" i="20" s="1"/>
  <c r="H15" i="20"/>
  <c r="P10" i="20"/>
  <c r="F24" i="20"/>
  <c r="S24" i="20"/>
  <c r="S31" i="20" s="1"/>
  <c r="F28" i="20"/>
  <c r="G28" i="20" s="1"/>
  <c r="S40" i="20"/>
  <c r="S41" i="20"/>
  <c r="S42" i="20"/>
  <c r="S43" i="20"/>
  <c r="S44" i="20"/>
  <c r="S45" i="20"/>
  <c r="S46" i="20"/>
  <c r="E15" i="20"/>
  <c r="E25" i="20"/>
  <c r="F26" i="20"/>
  <c r="G26" i="20" s="1"/>
  <c r="E29" i="20"/>
  <c r="G29" i="20" s="1"/>
  <c r="F30" i="20"/>
  <c r="G30" i="20" s="1"/>
  <c r="E40" i="20"/>
  <c r="N40" i="20"/>
  <c r="F25" i="20"/>
  <c r="F29" i="20"/>
  <c r="E29" i="2"/>
  <c r="E28" i="2"/>
  <c r="B25" i="2"/>
  <c r="B24" i="2"/>
  <c r="B23" i="2"/>
  <c r="B22" i="2"/>
  <c r="B21" i="2"/>
  <c r="B20" i="2"/>
  <c r="B19" i="2"/>
  <c r="C18" i="2"/>
  <c r="B18" i="2"/>
  <c r="C13" i="2"/>
  <c r="C12" i="2"/>
  <c r="C11" i="2"/>
  <c r="C10" i="2"/>
  <c r="C9" i="2"/>
  <c r="C8" i="2"/>
  <c r="C7" i="2"/>
  <c r="E6" i="2"/>
  <c r="C6" i="2"/>
  <c r="A2" i="2"/>
  <c r="C25" i="2"/>
  <c r="C23" i="2"/>
  <c r="C22" i="2"/>
  <c r="E11" i="2"/>
  <c r="E10" i="2"/>
  <c r="E7" i="2"/>
  <c r="C19" i="2" l="1"/>
  <c r="C21" i="2"/>
  <c r="C20" i="2"/>
  <c r="C24" i="2"/>
  <c r="N47" i="20"/>
  <c r="O40" i="20"/>
  <c r="F31" i="20"/>
  <c r="G24" i="20"/>
  <c r="E47" i="20"/>
  <c r="G40" i="20"/>
  <c r="G47" i="20" s="1"/>
  <c r="E31" i="20"/>
  <c r="G25" i="20"/>
  <c r="S47" i="20"/>
  <c r="K15" i="20"/>
  <c r="H18" i="20"/>
  <c r="E12" i="2"/>
  <c r="E9" i="2"/>
  <c r="E13" i="2"/>
  <c r="E8" i="2"/>
  <c r="O47" i="20" l="1"/>
  <c r="P11" i="20"/>
  <c r="H49" i="20" s="1"/>
  <c r="H50" i="20" s="1"/>
  <c r="G31" i="20"/>
  <c r="E14" i="2" l="1"/>
  <c r="E25" i="12" l="1"/>
  <c r="E24" i="12"/>
  <c r="E23" i="12"/>
  <c r="E22" i="12"/>
  <c r="E21" i="12"/>
  <c r="E20" i="12"/>
  <c r="E19" i="12"/>
  <c r="E43" i="13" l="1"/>
  <c r="D43" i="13"/>
  <c r="E42" i="13"/>
  <c r="D42" i="13"/>
  <c r="E41" i="13"/>
  <c r="D41" i="13"/>
  <c r="E40" i="13"/>
  <c r="D40" i="13"/>
  <c r="D45" i="13" s="1"/>
  <c r="E39" i="13"/>
  <c r="D39" i="13"/>
  <c r="E38" i="13"/>
  <c r="D38" i="13"/>
  <c r="E37" i="13"/>
  <c r="E45" i="13" s="1"/>
  <c r="D37" i="13"/>
  <c r="V36" i="13"/>
  <c r="U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F36" i="13"/>
  <c r="E36" i="13"/>
  <c r="D36" i="13"/>
  <c r="E30" i="13"/>
  <c r="I23" i="13"/>
  <c r="H23" i="13"/>
  <c r="V20" i="13"/>
  <c r="V23" i="13" s="1"/>
  <c r="U20" i="13"/>
  <c r="U23" i="13" s="1"/>
  <c r="T20" i="13"/>
  <c r="T23" i="13" s="1"/>
  <c r="S20" i="13"/>
  <c r="S23" i="13" s="1"/>
  <c r="R20" i="13"/>
  <c r="R23" i="13" s="1"/>
  <c r="Q20" i="13"/>
  <c r="Q23" i="13" s="1"/>
  <c r="P20" i="13"/>
  <c r="P23" i="13" s="1"/>
  <c r="O20" i="13"/>
  <c r="O23" i="13" s="1"/>
  <c r="N20" i="13"/>
  <c r="N23" i="13" s="1"/>
  <c r="M20" i="13"/>
  <c r="M23" i="13" s="1"/>
  <c r="L20" i="13"/>
  <c r="L23" i="13" s="1"/>
  <c r="K20" i="13"/>
  <c r="K23" i="13" s="1"/>
  <c r="J20" i="13"/>
  <c r="J23" i="13" s="1"/>
  <c r="I20" i="13"/>
  <c r="H20" i="13"/>
  <c r="G20" i="13"/>
  <c r="G23" i="13" s="1"/>
  <c r="F20" i="13"/>
  <c r="F23" i="13" s="1"/>
  <c r="F29" i="13" s="1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F14" i="13"/>
  <c r="E14" i="13"/>
  <c r="D14" i="13"/>
  <c r="G12" i="13"/>
  <c r="G11" i="13"/>
  <c r="G10" i="13"/>
  <c r="G9" i="13"/>
  <c r="G8" i="13"/>
  <c r="G14" i="13" s="1"/>
  <c r="G7" i="13"/>
  <c r="G6" i="13"/>
  <c r="G42" i="13" l="1"/>
  <c r="F40" i="13"/>
  <c r="F30" i="13"/>
  <c r="F31" i="13" s="1"/>
  <c r="G29" i="13"/>
  <c r="F38" i="13"/>
  <c r="F41" i="13"/>
  <c r="F37" i="13"/>
  <c r="F43" i="13"/>
  <c r="F39" i="13"/>
  <c r="F42" i="13"/>
  <c r="G40" i="13"/>
  <c r="G37" i="13"/>
  <c r="G41" i="13"/>
  <c r="F21" i="13"/>
  <c r="C13" i="12"/>
  <c r="C12" i="12"/>
  <c r="C11" i="12"/>
  <c r="C10" i="12"/>
  <c r="C9" i="12"/>
  <c r="C8" i="12"/>
  <c r="C7" i="12"/>
  <c r="C19" i="12"/>
  <c r="C20" i="12"/>
  <c r="C21" i="12"/>
  <c r="C22" i="12"/>
  <c r="C23" i="12"/>
  <c r="C24" i="12"/>
  <c r="C25" i="12"/>
  <c r="C26" i="12"/>
  <c r="B14" i="12"/>
  <c r="C33" i="12"/>
  <c r="B26" i="12"/>
  <c r="B33" i="12"/>
  <c r="F19" i="12"/>
  <c r="F20" i="12"/>
  <c r="F21" i="12"/>
  <c r="F22" i="12"/>
  <c r="F23" i="12"/>
  <c r="F24" i="12"/>
  <c r="F25" i="12"/>
  <c r="E26" i="12"/>
  <c r="E14" i="12"/>
  <c r="C14" i="12"/>
  <c r="F14" i="12"/>
  <c r="F13" i="12"/>
  <c r="F12" i="12"/>
  <c r="F11" i="12"/>
  <c r="F10" i="12"/>
  <c r="F9" i="12"/>
  <c r="F8" i="12"/>
  <c r="F7" i="12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V20" i="1"/>
  <c r="V23" i="1"/>
  <c r="V29" i="1"/>
  <c r="V37" i="1"/>
  <c r="V38" i="1"/>
  <c r="V39" i="1"/>
  <c r="V40" i="1"/>
  <c r="V41" i="1"/>
  <c r="V42" i="1"/>
  <c r="V43" i="1"/>
  <c r="V45" i="1"/>
  <c r="V30" i="1"/>
  <c r="V31" i="1"/>
  <c r="V21" i="1"/>
  <c r="V24" i="1"/>
  <c r="V14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F31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U20" i="1"/>
  <c r="U23" i="1"/>
  <c r="U29" i="1"/>
  <c r="U43" i="1"/>
  <c r="U42" i="1"/>
  <c r="U41" i="1"/>
  <c r="U40" i="1"/>
  <c r="U39" i="1"/>
  <c r="U38" i="1"/>
  <c r="U37" i="1"/>
  <c r="U21" i="1"/>
  <c r="U24" i="1"/>
  <c r="E25" i="9"/>
  <c r="E24" i="9"/>
  <c r="E23" i="9"/>
  <c r="E22" i="9"/>
  <c r="E21" i="9"/>
  <c r="E20" i="9"/>
  <c r="E19" i="9"/>
  <c r="F33" i="9"/>
  <c r="F25" i="9"/>
  <c r="C33" i="9"/>
  <c r="B33" i="9"/>
  <c r="F24" i="9"/>
  <c r="F20" i="9"/>
  <c r="F22" i="9"/>
  <c r="F19" i="9"/>
  <c r="F21" i="9"/>
  <c r="F23" i="9"/>
  <c r="B26" i="9"/>
  <c r="C25" i="9"/>
  <c r="C24" i="9"/>
  <c r="C23" i="9"/>
  <c r="C22" i="9"/>
  <c r="C21" i="9"/>
  <c r="C20" i="9"/>
  <c r="C19" i="9"/>
  <c r="E14" i="9"/>
  <c r="B14" i="9"/>
  <c r="C13" i="9"/>
  <c r="F13" i="9"/>
  <c r="C12" i="9"/>
  <c r="F12" i="9"/>
  <c r="C11" i="9"/>
  <c r="C10" i="9"/>
  <c r="F10" i="9"/>
  <c r="C9" i="9"/>
  <c r="F9" i="9"/>
  <c r="C8" i="9"/>
  <c r="F8" i="9"/>
  <c r="C7" i="9"/>
  <c r="C14" i="9"/>
  <c r="F14" i="9"/>
  <c r="C26" i="9"/>
  <c r="F26" i="9"/>
  <c r="F29" i="9"/>
  <c r="E26" i="9"/>
  <c r="F7" i="9"/>
  <c r="F11" i="9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G37" i="1"/>
  <c r="G38" i="1"/>
  <c r="G39" i="1"/>
  <c r="G41" i="1"/>
  <c r="G43" i="1"/>
  <c r="F43" i="1"/>
  <c r="F42" i="1"/>
  <c r="F41" i="1"/>
  <c r="F40" i="1"/>
  <c r="F39" i="1"/>
  <c r="F38" i="1"/>
  <c r="F37" i="1"/>
  <c r="E37" i="1"/>
  <c r="E38" i="1"/>
  <c r="E39" i="1"/>
  <c r="E40" i="1"/>
  <c r="E41" i="1"/>
  <c r="E42" i="1"/>
  <c r="E43" i="1"/>
  <c r="D38" i="1"/>
  <c r="D39" i="1"/>
  <c r="D40" i="1"/>
  <c r="D45" i="1"/>
  <c r="D41" i="1"/>
  <c r="D42" i="1"/>
  <c r="D43" i="1"/>
  <c r="D37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F45" i="1"/>
  <c r="E45" i="1"/>
  <c r="F21" i="1"/>
  <c r="T20" i="1"/>
  <c r="T23" i="1"/>
  <c r="S20" i="1"/>
  <c r="S23" i="1"/>
  <c r="R20" i="1"/>
  <c r="R23" i="1"/>
  <c r="Q20" i="1"/>
  <c r="Q23" i="1"/>
  <c r="P20" i="1"/>
  <c r="P23" i="1"/>
  <c r="O20" i="1"/>
  <c r="O23" i="1"/>
  <c r="N20" i="1"/>
  <c r="N23" i="1"/>
  <c r="M20" i="1"/>
  <c r="M23" i="1"/>
  <c r="L20" i="1"/>
  <c r="L23" i="1"/>
  <c r="K20" i="1"/>
  <c r="K23" i="1"/>
  <c r="J20" i="1"/>
  <c r="J23" i="1"/>
  <c r="I20" i="1"/>
  <c r="I23" i="1"/>
  <c r="H20" i="1"/>
  <c r="H23" i="1"/>
  <c r="G20" i="1"/>
  <c r="G23" i="1"/>
  <c r="F20" i="1"/>
  <c r="F23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G21" i="1"/>
  <c r="H21" i="1"/>
  <c r="F24" i="1"/>
  <c r="G10" i="1"/>
  <c r="B27" i="3"/>
  <c r="C27" i="3"/>
  <c r="E26" i="3"/>
  <c r="C26" i="3"/>
  <c r="C25" i="3"/>
  <c r="E25" i="3"/>
  <c r="E24" i="3"/>
  <c r="C24" i="3"/>
  <c r="C23" i="3"/>
  <c r="E23" i="3"/>
  <c r="E22" i="3"/>
  <c r="C22" i="3"/>
  <c r="C21" i="3"/>
  <c r="E21" i="3"/>
  <c r="E20" i="3"/>
  <c r="C20" i="3"/>
  <c r="C15" i="3"/>
  <c r="B15" i="3"/>
  <c r="T14" i="1"/>
  <c r="B26" i="2"/>
  <c r="C14" i="2"/>
  <c r="D14" i="1"/>
  <c r="E14" i="1"/>
  <c r="U14" i="1"/>
  <c r="S14" i="1"/>
  <c r="R14" i="1"/>
  <c r="Q14" i="1"/>
  <c r="P14" i="1"/>
  <c r="O14" i="1"/>
  <c r="N14" i="1"/>
  <c r="M14" i="1"/>
  <c r="L14" i="1"/>
  <c r="K14" i="1"/>
  <c r="J14" i="1"/>
  <c r="I14" i="1"/>
  <c r="H14" i="1"/>
  <c r="G12" i="1"/>
  <c r="G11" i="1"/>
  <c r="G42" i="1"/>
  <c r="G9" i="1"/>
  <c r="G40" i="1"/>
  <c r="G45" i="1"/>
  <c r="G8" i="1"/>
  <c r="G7" i="1"/>
  <c r="G6" i="1"/>
  <c r="F14" i="1"/>
  <c r="G24" i="1"/>
  <c r="I21" i="1"/>
  <c r="H24" i="1"/>
  <c r="G14" i="1"/>
  <c r="E27" i="3"/>
  <c r="J21" i="1"/>
  <c r="I24" i="1"/>
  <c r="K21" i="1"/>
  <c r="J24" i="1"/>
  <c r="L21" i="1"/>
  <c r="K24" i="1"/>
  <c r="M21" i="1"/>
  <c r="L24" i="1"/>
  <c r="N21" i="1"/>
  <c r="M24" i="1"/>
  <c r="O21" i="1"/>
  <c r="N24" i="1"/>
  <c r="P21" i="1"/>
  <c r="O24" i="1"/>
  <c r="Q21" i="1"/>
  <c r="P24" i="1"/>
  <c r="R21" i="1"/>
  <c r="Q24" i="1"/>
  <c r="S21" i="1"/>
  <c r="R24" i="1"/>
  <c r="T21" i="1"/>
  <c r="T24" i="1"/>
  <c r="S24" i="1"/>
  <c r="F26" i="12" l="1"/>
  <c r="G21" i="13"/>
  <c r="F24" i="13"/>
  <c r="H29" i="13"/>
  <c r="G30" i="13"/>
  <c r="G31" i="13" s="1"/>
  <c r="G38" i="13"/>
  <c r="G39" i="13"/>
  <c r="G43" i="13"/>
  <c r="F45" i="13"/>
  <c r="C26" i="2" l="1"/>
  <c r="G45" i="13"/>
  <c r="H21" i="13"/>
  <c r="G24" i="13"/>
  <c r="H42" i="13"/>
  <c r="H38" i="13"/>
  <c r="H43" i="13"/>
  <c r="H39" i="13"/>
  <c r="H30" i="13"/>
  <c r="H31" i="13" s="1"/>
  <c r="H41" i="13"/>
  <c r="H37" i="13"/>
  <c r="I29" i="13"/>
  <c r="H40" i="13"/>
  <c r="I43" i="13" l="1"/>
  <c r="I39" i="13"/>
  <c r="I41" i="13"/>
  <c r="I40" i="13"/>
  <c r="I30" i="13"/>
  <c r="I31" i="13" s="1"/>
  <c r="J29" i="13"/>
  <c r="I42" i="13"/>
  <c r="I38" i="13"/>
  <c r="I37" i="13"/>
  <c r="H45" i="13"/>
  <c r="H24" i="13"/>
  <c r="I21" i="13"/>
  <c r="F28" i="12" l="1"/>
  <c r="F29" i="12" s="1"/>
  <c r="J40" i="13"/>
  <c r="J30" i="13"/>
  <c r="J31" i="13" s="1"/>
  <c r="J41" i="13"/>
  <c r="J37" i="13"/>
  <c r="K29" i="13"/>
  <c r="J42" i="13"/>
  <c r="J38" i="13"/>
  <c r="J43" i="13"/>
  <c r="J39" i="13"/>
  <c r="I45" i="13"/>
  <c r="I24" i="13"/>
  <c r="J21" i="13"/>
  <c r="K21" i="13" l="1"/>
  <c r="J24" i="13"/>
  <c r="J45" i="13"/>
  <c r="K41" i="13"/>
  <c r="K37" i="13"/>
  <c r="L29" i="13"/>
  <c r="K39" i="13"/>
  <c r="K42" i="13"/>
  <c r="K38" i="13"/>
  <c r="K43" i="13"/>
  <c r="K40" i="13"/>
  <c r="K30" i="13"/>
  <c r="K31" i="13" s="1"/>
  <c r="L42" i="13" l="1"/>
  <c r="L38" i="13"/>
  <c r="L30" i="13"/>
  <c r="L31" i="13" s="1"/>
  <c r="L43" i="13"/>
  <c r="L39" i="13"/>
  <c r="L40" i="13"/>
  <c r="L41" i="13"/>
  <c r="L37" i="13"/>
  <c r="M29" i="13"/>
  <c r="K45" i="13"/>
  <c r="K24" i="13"/>
  <c r="L21" i="13"/>
  <c r="L45" i="13" l="1"/>
  <c r="M21" i="13"/>
  <c r="L24" i="13"/>
  <c r="M43" i="13"/>
  <c r="M39" i="13"/>
  <c r="M37" i="13"/>
  <c r="N29" i="13"/>
  <c r="M40" i="13"/>
  <c r="M30" i="13"/>
  <c r="M31" i="13" s="1"/>
  <c r="M42" i="13"/>
  <c r="M38" i="13"/>
  <c r="M41" i="13"/>
  <c r="N40" i="13" l="1"/>
  <c r="N30" i="13"/>
  <c r="N31" i="13" s="1"/>
  <c r="N42" i="13"/>
  <c r="N41" i="13"/>
  <c r="N37" i="13"/>
  <c r="O29" i="13"/>
  <c r="N43" i="13"/>
  <c r="N39" i="13"/>
  <c r="N38" i="13"/>
  <c r="M45" i="13"/>
  <c r="M24" i="13"/>
  <c r="N21" i="13"/>
  <c r="O21" i="13" l="1"/>
  <c r="N24" i="13"/>
  <c r="O41" i="13"/>
  <c r="O37" i="13"/>
  <c r="P29" i="13"/>
  <c r="O43" i="13"/>
  <c r="O42" i="13"/>
  <c r="O38" i="13"/>
  <c r="O40" i="13"/>
  <c r="O30" i="13"/>
  <c r="O31" i="13" s="1"/>
  <c r="O39" i="13"/>
  <c r="N45" i="13"/>
  <c r="O45" i="13" l="1"/>
  <c r="P42" i="13"/>
  <c r="P38" i="13"/>
  <c r="P40" i="13"/>
  <c r="P43" i="13"/>
  <c r="P39" i="13"/>
  <c r="P30" i="13"/>
  <c r="P31" i="13" s="1"/>
  <c r="P41" i="13"/>
  <c r="P37" i="13"/>
  <c r="Q29" i="13"/>
  <c r="P21" i="13"/>
  <c r="O24" i="13"/>
  <c r="P45" i="13" l="1"/>
  <c r="P24" i="13"/>
  <c r="Q21" i="13"/>
  <c r="Q43" i="13"/>
  <c r="Q39" i="13"/>
  <c r="Q40" i="13"/>
  <c r="Q30" i="13"/>
  <c r="Q31" i="13" s="1"/>
  <c r="Q41" i="13"/>
  <c r="Q37" i="13"/>
  <c r="R29" i="13"/>
  <c r="Q42" i="13"/>
  <c r="Q38" i="13"/>
  <c r="R40" i="13" l="1"/>
  <c r="R30" i="13"/>
  <c r="R31" i="13" s="1"/>
  <c r="R38" i="13"/>
  <c r="R41" i="13"/>
  <c r="R37" i="13"/>
  <c r="S29" i="13"/>
  <c r="R43" i="13"/>
  <c r="R39" i="13"/>
  <c r="R42" i="13"/>
  <c r="Q45" i="13"/>
  <c r="Q24" i="13"/>
  <c r="R21" i="13"/>
  <c r="R45" i="13" l="1"/>
  <c r="S21" i="13"/>
  <c r="R24" i="13"/>
  <c r="S41" i="13"/>
  <c r="S37" i="13"/>
  <c r="T29" i="13"/>
  <c r="S42" i="13"/>
  <c r="S38" i="13"/>
  <c r="S43" i="13"/>
  <c r="S39" i="13"/>
  <c r="S40" i="13"/>
  <c r="S30" i="13"/>
  <c r="S31" i="13" s="1"/>
  <c r="S45" i="13" l="1"/>
  <c r="T42" i="13"/>
  <c r="T38" i="13"/>
  <c r="T30" i="13"/>
  <c r="T31" i="13" s="1"/>
  <c r="T43" i="13"/>
  <c r="T39" i="13"/>
  <c r="T41" i="13"/>
  <c r="T37" i="13"/>
  <c r="U29" i="13"/>
  <c r="T40" i="13"/>
  <c r="S24" i="13"/>
  <c r="T21" i="13"/>
  <c r="U43" i="13" l="1"/>
  <c r="U39" i="13"/>
  <c r="U41" i="13"/>
  <c r="V29" i="13"/>
  <c r="W29" i="13" s="1"/>
  <c r="W27" i="13" s="1"/>
  <c r="U40" i="13"/>
  <c r="U30" i="13"/>
  <c r="U31" i="13" s="1"/>
  <c r="U42" i="13"/>
  <c r="U38" i="13"/>
  <c r="U37" i="13"/>
  <c r="U21" i="13"/>
  <c r="T24" i="13"/>
  <c r="T45" i="13"/>
  <c r="W30" i="13" l="1"/>
  <c r="W31" i="13" s="1"/>
  <c r="U45" i="13"/>
  <c r="V40" i="13"/>
  <c r="V30" i="13"/>
  <c r="V31" i="13" s="1"/>
  <c r="V41" i="13"/>
  <c r="V37" i="13"/>
  <c r="V42" i="13"/>
  <c r="V38" i="13"/>
  <c r="V43" i="13"/>
  <c r="V39" i="13"/>
  <c r="U24" i="13"/>
  <c r="V21" i="13"/>
  <c r="V24" i="13" l="1"/>
  <c r="W21" i="13"/>
  <c r="W24" i="13" s="1"/>
  <c r="V45" i="13"/>
  <c r="E20" i="2" l="1"/>
  <c r="E24" i="2"/>
  <c r="W10" i="13"/>
  <c r="F23" i="2"/>
  <c r="W11" i="13"/>
  <c r="F24" i="2"/>
  <c r="E21" i="2"/>
  <c r="E22" i="2"/>
  <c r="W12" i="13"/>
  <c r="F25" i="2"/>
  <c r="E23" i="2"/>
  <c r="E19" i="2"/>
  <c r="W6" i="13"/>
  <c r="X6" i="13" s="1"/>
  <c r="F19" i="2"/>
  <c r="W7" i="13"/>
  <c r="F20" i="2"/>
  <c r="E25" i="2"/>
  <c r="W8" i="13"/>
  <c r="F21" i="2"/>
  <c r="W9" i="13"/>
  <c r="F22" i="2"/>
  <c r="W43" i="13" l="1"/>
  <c r="X12" i="13"/>
  <c r="X43" i="13" s="1"/>
  <c r="W42" i="13"/>
  <c r="X11" i="13"/>
  <c r="X42" i="13" s="1"/>
  <c r="W41" i="13"/>
  <c r="X10" i="13"/>
  <c r="X41" i="13" s="1"/>
  <c r="W40" i="13"/>
  <c r="X9" i="13"/>
  <c r="X40" i="13" s="1"/>
  <c r="W39" i="13"/>
  <c r="X8" i="13"/>
  <c r="X39" i="13" s="1"/>
  <c r="W38" i="13"/>
  <c r="X7" i="13"/>
  <c r="X38" i="13" s="1"/>
  <c r="X37" i="13"/>
  <c r="F26" i="2"/>
  <c r="W14" i="13"/>
  <c r="W37" i="13"/>
  <c r="E26" i="2"/>
  <c r="X14" i="13" l="1"/>
  <c r="X45" i="13"/>
  <c r="W45" i="13"/>
  <c r="F28" i="2" l="1"/>
  <c r="F29" i="2"/>
</calcChain>
</file>

<file path=xl/sharedStrings.xml><?xml version="1.0" encoding="utf-8"?>
<sst xmlns="http://schemas.openxmlformats.org/spreadsheetml/2006/main" count="350" uniqueCount="129">
  <si>
    <t>County</t>
  </si>
  <si>
    <t>Nevada</t>
  </si>
  <si>
    <t>Placer</t>
  </si>
  <si>
    <t>Sacramento</t>
  </si>
  <si>
    <t>Sierra</t>
  </si>
  <si>
    <t>Sutter</t>
  </si>
  <si>
    <t>Yolo</t>
  </si>
  <si>
    <t>Yuba</t>
  </si>
  <si>
    <t>Totals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</si>
  <si>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</si>
  <si>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</si>
  <si>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</si>
  <si>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</si>
  <si>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</si>
  <si>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</si>
  <si>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</si>
  <si>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</si>
  <si>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</si>
  <si>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</si>
  <si>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</si>
  <si>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</si>
  <si>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2004-05</t>
  </si>
  <si>
    <t>2003-04</t>
  </si>
  <si>
    <t>2002-03</t>
  </si>
  <si>
    <t>2001-02</t>
  </si>
  <si>
    <t>2000-01</t>
  </si>
  <si>
    <t>1999-2000</t>
  </si>
  <si>
    <t>COUNTY MATCH CONTRIBUTIONS</t>
  </si>
  <si>
    <t>Current County Match Amounts</t>
  </si>
  <si>
    <t>Dept. of Finance 60+ Population Projection for 2014</t>
  </si>
  <si>
    <t>Total</t>
  </si>
  <si>
    <t>FY 2015 - 2016 County Population Figures</t>
  </si>
  <si>
    <t>Dept. of Finance 60+ Population Projection for 2015</t>
  </si>
  <si>
    <t>ATTACHMENT A</t>
  </si>
  <si>
    <t>2014-2015</t>
  </si>
  <si>
    <t>2010 Census 60+ Population</t>
  </si>
  <si>
    <t>FY 2013-2014 County Matching Amount                       ($0.68 per capita)</t>
  </si>
  <si>
    <t>County Population Figures, FY 2013-2014</t>
  </si>
  <si>
    <t>Increase in Population Age 60+ (2010 Census to CY 2014)</t>
  </si>
  <si>
    <t>Savings to Counties in Additional Matching Funds NOT REQUESTED                            ($0.67 per capita)</t>
  </si>
  <si>
    <t>CPI</t>
  </si>
  <si>
    <t>CPI % change</t>
  </si>
  <si>
    <t>Cumulative CPI % change</t>
  </si>
  <si>
    <t>CPI change</t>
  </si>
  <si>
    <t>Cumulative CPI change</t>
  </si>
  <si>
    <t>Agency on Aging \ Area 4</t>
  </si>
  <si>
    <t>Historical County Match</t>
  </si>
  <si>
    <t>per capita rate used</t>
  </si>
  <si>
    <t>What MATCH would have been if we kept pace with inflation:</t>
  </si>
  <si>
    <t>FY 2016-17</t>
  </si>
  <si>
    <t>Fiscal Year 2014-15</t>
  </si>
  <si>
    <t>FY 2015-2016 County Matching Amount                       ($0.68 per capita)</t>
  </si>
  <si>
    <t>AAA4 Funding by County</t>
  </si>
  <si>
    <t>Funding Received per Dollar Contributed</t>
  </si>
  <si>
    <t>Proposed Match FY 2016-17</t>
  </si>
  <si>
    <t>Dept. of Finance 60+ Population Projection for 2016</t>
  </si>
  <si>
    <r>
      <t>Increase in Population Age 60+</t>
    </r>
    <r>
      <rPr>
        <b/>
        <sz val="14"/>
        <color indexed="10"/>
        <rFont val="Arial"/>
        <family val="2"/>
      </rPr>
      <t xml:space="preserve"> </t>
    </r>
    <r>
      <rPr>
        <b/>
        <sz val="14"/>
        <rFont val="Arial"/>
        <family val="2"/>
      </rPr>
      <t>(CY 2015-2016)</t>
    </r>
  </si>
  <si>
    <t>Increase in Additional Matching Funds to Counties ($0.78 per capita)</t>
  </si>
  <si>
    <t>FY 2016-2017 Proposed Matching funds</t>
  </si>
  <si>
    <t>Minimum Match from FY 2015-16 Amendment 2</t>
  </si>
  <si>
    <t>Match Overage/(Shortfall)</t>
  </si>
  <si>
    <t>Current County Match Amounts (FY 2015-16)</t>
  </si>
  <si>
    <t>AAA4 Funding by County (Budget)</t>
  </si>
  <si>
    <t>AAA4 Funding by County (Actual)</t>
  </si>
  <si>
    <t>Prior Match</t>
  </si>
  <si>
    <t>Funding</t>
  </si>
  <si>
    <t>Current Match</t>
  </si>
  <si>
    <t>Proposed Match</t>
  </si>
  <si>
    <t>County Population Figures</t>
  </si>
  <si>
    <t>Increase in Additional Matching Funds from Counties ($0.68 per capita)</t>
  </si>
  <si>
    <t>Increase in Additional Matching Funds from Counties ($0.78 per capita)</t>
  </si>
  <si>
    <t>What per capita rate would have been if we kept pace with inflation</t>
  </si>
  <si>
    <t>Difference/Shortfall</t>
  </si>
  <si>
    <t>%age Shortfall</t>
  </si>
  <si>
    <t>2017-18</t>
  </si>
  <si>
    <t>Current County Match Amounts (FY 2016-17)</t>
  </si>
  <si>
    <t>Fiscal Year 2015-16</t>
  </si>
  <si>
    <t>Proposed Match FY 2017-18</t>
  </si>
  <si>
    <t>FY 2017-18</t>
  </si>
  <si>
    <t>Dept. of Finance 60+ Population Projection for 2017</t>
  </si>
  <si>
    <r>
      <t>Increase in Population Age 60+</t>
    </r>
    <r>
      <rPr>
        <b/>
        <sz val="14"/>
        <color indexed="10"/>
        <rFont val="Arial"/>
        <family val="2"/>
      </rPr>
      <t xml:space="preserve"> </t>
    </r>
    <r>
      <rPr>
        <b/>
        <sz val="14"/>
        <rFont val="Arial"/>
        <family val="2"/>
      </rPr>
      <t>(CY 2016-17)</t>
    </r>
  </si>
  <si>
    <t>FY 2016 - 17 County Population Figures</t>
  </si>
  <si>
    <t>Prior Fiscal Year (2015 - 2016)</t>
  </si>
  <si>
    <t>Minimum Required Match from FY 2015-16 Closeout</t>
  </si>
  <si>
    <t>Current Fiscal Year (2016 - 2017)</t>
  </si>
  <si>
    <t>Minimum Required Match from FY 2016-17 Budget</t>
  </si>
  <si>
    <t>Increase in Additional Matching Funds from Counties ($0.87 per capita)</t>
  </si>
  <si>
    <t>Next Fiscal Year (2017 - 2018)</t>
  </si>
  <si>
    <t>Due to Rate Increase</t>
  </si>
  <si>
    <t>Due to Population Increase</t>
  </si>
  <si>
    <t>Increase in              60+ Population      (CY 2016 to 2017)</t>
  </si>
  <si>
    <t>Increase in              60+ Population      (CY 2015 to 2016)</t>
  </si>
  <si>
    <t>Total Increase</t>
  </si>
  <si>
    <t>Projected Minimum Required Match from FY 2017-18 Budget</t>
  </si>
  <si>
    <t>Projected Match Overage/(Shortfall)</t>
  </si>
  <si>
    <t>Change in Matching Funds</t>
  </si>
  <si>
    <t>Increase in           60+ Population  (CY 2014 to 2015)</t>
  </si>
  <si>
    <t>Compared to California CPI</t>
  </si>
  <si>
    <t>Compared to National CPI</t>
  </si>
  <si>
    <t>California CPI</t>
  </si>
  <si>
    <t>FY 2016-17 County Matching Funds                       ($0.78 per capita)</t>
  </si>
  <si>
    <t>Increase in Additional Matching Funds to Counties</t>
  </si>
  <si>
    <t>FY 2017-18 Proposed Matching Funds ($0.89 per capita)</t>
  </si>
  <si>
    <t>FY 2016-2017 Matching Funds ($0.78 per capita)</t>
  </si>
  <si>
    <t>FY 2015-2016 Matching Funds                       ($0.68 per capita)</t>
  </si>
  <si>
    <t>FY 2017-2018 Proposed        Matching Funds ($0.90 per capita)</t>
  </si>
  <si>
    <t>Increase in Additional Matching Funds to Counties ($0.90 per capita)</t>
  </si>
  <si>
    <t>FY 2017-2018 Matching funds</t>
  </si>
  <si>
    <t>Current FY County Match Amounts</t>
  </si>
  <si>
    <t>FY 2016-2017 County Population Figures</t>
  </si>
  <si>
    <t>Proposed Match 2017-2018</t>
  </si>
  <si>
    <t>AAA4 Funding by County (Projected)</t>
  </si>
  <si>
    <t>Population Increase</t>
  </si>
  <si>
    <t>AAA4 Funding Increase</t>
  </si>
  <si>
    <t>Match Rate Used</t>
  </si>
  <si>
    <t>Fiscal Year</t>
  </si>
  <si>
    <t>2018-19</t>
  </si>
  <si>
    <t>FY 2018-19</t>
  </si>
  <si>
    <t>Current Fiscal Year (2017 - 2018)</t>
  </si>
  <si>
    <t>Dept. of Finance 60+ Population Projection for 2018</t>
  </si>
  <si>
    <t>FY 2017-2018 Matching Funds ($0.90 per capita)</t>
  </si>
  <si>
    <t>Next Fiscal Year (2018 - 2019)</t>
  </si>
  <si>
    <t>FY 2018-2019 Proposed        Matching Funds ($1.03 per capita)</t>
  </si>
  <si>
    <t>2019-20</t>
  </si>
  <si>
    <t>Change in              60+ Population      (CY 2016 to 2017)</t>
  </si>
  <si>
    <t>Change in              60+ Population      (CY 2017 to 2018)</t>
  </si>
  <si>
    <t>Due to Population Change</t>
  </si>
  <si>
    <t>Due to Rate Change</t>
  </si>
  <si>
    <t>Total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</si>
</sst>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* #,##0.000_);_(* \(#,##0.000\);_(* &quot;-&quot;???_);_(@_)"/>
    <numFmt numFmtId="167" formatCode="[$-409]mmm\-yy;@"/>
    <numFmt numFmtId="168" formatCode="_([$$-409]* #,##0_);_([$$-409]* \(#,##0\);_([$$-409]* &quot;-&quot;_);_(@_)"/>
  </numFmts>
  <fonts count="22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9" tint="-0.499984740745262"/>
      <name val="Arial"/>
      <family val="2"/>
    </font>
    <font>
      <sz val="11"/>
      <color theme="9" tint="-0.499984740745262"/>
      <name val="Arial"/>
      <family val="2"/>
    </font>
    <font>
      <b/>
      <sz val="11"/>
      <color theme="8" tint="-0.499984740745262"/>
      <name val="Arial"/>
      <family val="2"/>
    </font>
    <font>
      <sz val="11"/>
      <color theme="8" tint="-0.499984740745262"/>
      <name val="Arial"/>
      <family val="2"/>
    </font>
    <font>
      <b/>
      <sz val="11"/>
      <color theme="5" tint="-0.499984740745262"/>
      <name val="Arial"/>
      <family val="2"/>
    </font>
    <font>
      <sz val="11"/>
      <color theme="5" tint="-0.49998474074526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1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uble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auto="1"/>
      </bottom>
      <diagonal/>
    </border>
    <border>
      <left style="thick">
        <color theme="5" tint="-0.499984740745262"/>
      </left>
      <right style="thick">
        <color theme="5" tint="-0.499984740745262"/>
      </right>
      <top/>
      <bottom/>
      <diagonal/>
    </border>
    <border>
      <left style="thick">
        <color theme="5" tint="-0.499984740745262"/>
      </left>
      <right style="thick">
        <color theme="5" tint="-0.499984740745262"/>
      </right>
      <top style="thin">
        <color indexed="64"/>
      </top>
      <bottom style="thick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/>
      <diagonal/>
    </border>
    <border>
      <left style="thin">
        <color theme="5" tint="-0.499984740745262"/>
      </left>
      <right/>
      <top/>
      <bottom/>
      <diagonal/>
    </border>
    <border>
      <left/>
      <right style="thin">
        <color theme="5" tint="-0.499984740745262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thin">
        <color theme="8" tint="-0.499984740745262"/>
      </left>
      <right/>
      <top/>
      <bottom style="thin">
        <color theme="0"/>
      </bottom>
      <diagonal/>
    </border>
    <border>
      <left/>
      <right style="thin">
        <color theme="8" tint="-0.499984740745262"/>
      </right>
      <top/>
      <bottom style="thin">
        <color theme="0"/>
      </bottom>
      <diagonal/>
    </border>
    <border>
      <left style="thin">
        <color theme="8" tint="-0.499984740745262"/>
      </left>
      <right/>
      <top/>
      <bottom/>
      <diagonal/>
    </border>
    <border>
      <left/>
      <right style="thin">
        <color theme="8" tint="-0.499984740745262"/>
      </right>
      <top/>
      <bottom/>
      <diagonal/>
    </border>
    <border>
      <left style="thin">
        <color theme="5" tint="-0.499984740745262"/>
      </left>
      <right/>
      <top/>
      <bottom style="thin">
        <color theme="0"/>
      </bottom>
      <diagonal/>
    </border>
    <border>
      <left/>
      <right style="thin">
        <color theme="5" tint="-0.499984740745262"/>
      </right>
      <top/>
      <bottom style="thin">
        <color theme="0"/>
      </bottom>
      <diagonal/>
    </border>
    <border>
      <left style="thick">
        <color theme="8" tint="-0.499984740745262"/>
      </left>
      <right style="thick">
        <color theme="8" tint="-0.499984740745262"/>
      </right>
      <top/>
      <bottom/>
      <diagonal/>
    </border>
    <border>
      <left style="thick">
        <color theme="8" tint="-0.499984740745262"/>
      </left>
      <right style="thick">
        <color theme="8" tint="-0.499984740745262"/>
      </right>
      <top style="thin">
        <color indexed="64"/>
      </top>
      <bottom style="thick">
        <color theme="8" tint="-0.499984740745262"/>
      </bottom>
      <diagonal/>
    </border>
    <border>
      <left style="thin">
        <color theme="9" tint="-0.499984740745262"/>
      </left>
      <right style="double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/>
      <top/>
      <bottom style="thin">
        <color theme="0"/>
      </bottom>
      <diagonal/>
    </border>
    <border>
      <left/>
      <right style="thin">
        <color theme="9" tint="-0.499984740745262"/>
      </right>
      <top/>
      <bottom style="thin">
        <color theme="0"/>
      </bottom>
      <diagonal/>
    </border>
    <border>
      <left style="thin">
        <color theme="9" tint="-0.499984740745262"/>
      </left>
      <right/>
      <top/>
      <bottom/>
      <diagonal/>
    </border>
    <border>
      <left/>
      <right style="thin">
        <color theme="9" tint="-0.499984740745262"/>
      </right>
      <top/>
      <bottom/>
      <diagonal/>
    </border>
    <border>
      <left style="thick">
        <color theme="9" tint="-0.499984740745262"/>
      </left>
      <right style="thick">
        <color theme="9" tint="-0.499984740745262"/>
      </right>
      <top/>
      <bottom style="thin">
        <color indexed="64"/>
      </bottom>
      <diagonal/>
    </border>
    <border>
      <left style="thick">
        <color theme="9" tint="-0.499984740745262"/>
      </left>
      <right style="thick">
        <color theme="9" tint="-0.499984740745262"/>
      </right>
      <top style="thin">
        <color indexed="64"/>
      </top>
      <bottom style="thin">
        <color indexed="64"/>
      </bottom>
      <diagonal/>
    </border>
    <border>
      <left style="thick">
        <color theme="9" tint="-0.499984740745262"/>
      </left>
      <right style="thick">
        <color theme="9" tint="-0.499984740745262"/>
      </right>
      <top style="thin">
        <color indexed="64"/>
      </top>
      <bottom/>
      <diagonal/>
    </border>
    <border>
      <left style="thick">
        <color theme="9" tint="-0.499984740745262"/>
      </left>
      <right style="thick">
        <color theme="9" tint="-0.499984740745262"/>
      </right>
      <top style="medium">
        <color indexed="64"/>
      </top>
      <bottom style="medium">
        <color indexed="64"/>
      </bottom>
      <diagonal/>
    </border>
    <border>
      <left style="thick">
        <color theme="9" tint="-0.499984740745262"/>
      </left>
      <right style="thick">
        <color theme="9" tint="-0.499984740745262"/>
      </right>
      <top/>
      <bottom/>
      <diagonal/>
    </border>
    <border>
      <left style="thick">
        <color theme="9" tint="-0.499984740745262"/>
      </left>
      <right style="thick">
        <color theme="9" tint="-0.499984740745262"/>
      </right>
      <top style="thin">
        <color indexed="64"/>
      </top>
      <bottom style="thick">
        <color theme="9" tint="-0.499984740745262"/>
      </bottom>
      <diagonal/>
    </border>
    <border>
      <left style="thin">
        <color theme="5" tint="-0.499984740745262"/>
      </left>
      <right/>
      <top style="thin">
        <color theme="0"/>
      </top>
      <bottom/>
      <diagonal/>
    </border>
    <border>
      <left style="thin">
        <color theme="8" tint="-0.499984740745262"/>
      </left>
      <right/>
      <top style="thin">
        <color theme="0"/>
      </top>
      <bottom/>
      <diagonal/>
    </border>
    <border>
      <left style="thin">
        <color theme="9" tint="-0.499984740745262"/>
      </left>
      <right/>
      <top style="thin">
        <color theme="0"/>
      </top>
      <bottom/>
      <diagonal/>
    </border>
    <border>
      <left style="thick">
        <color theme="9" tint="-0.499984740745262"/>
      </left>
      <right style="thin">
        <color indexed="64"/>
      </right>
      <top/>
      <bottom/>
      <diagonal/>
    </border>
    <border>
      <left style="thick">
        <color theme="8" tint="-0.499984740745262"/>
      </left>
      <right/>
      <top/>
      <bottom/>
      <diagonal/>
    </border>
    <border>
      <left style="thick">
        <color theme="8" tint="-0.499984740745262"/>
      </left>
      <right style="thin">
        <color indexed="64"/>
      </right>
      <top/>
      <bottom style="thin">
        <color theme="0"/>
      </bottom>
      <diagonal/>
    </border>
    <border>
      <left style="thick">
        <color theme="5" tint="-0.499984740745262"/>
      </left>
      <right style="thin">
        <color theme="5" tint="-0.499984740745262"/>
      </right>
      <top/>
      <bottom/>
      <diagonal/>
    </border>
    <border>
      <left style="thick">
        <color theme="5" tint="-0.499984740745262"/>
      </left>
      <right/>
      <top/>
      <bottom/>
      <diagonal/>
    </border>
    <border>
      <left style="thick">
        <color theme="5" tint="-0.499984740745262"/>
      </left>
      <right style="thin">
        <color indexed="64"/>
      </right>
      <top/>
      <bottom style="thin">
        <color theme="0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9" tint="-0.499984740745262"/>
      </left>
      <right style="thick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5" tint="-0.499984740745262"/>
      </left>
      <right style="thick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/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/>
      <diagonal/>
    </border>
    <border>
      <left/>
      <right style="thick">
        <color theme="5" tint="-0.499984740745262"/>
      </right>
      <top style="thin">
        <color theme="0"/>
      </top>
      <bottom/>
      <diagonal/>
    </border>
    <border>
      <left style="double">
        <color theme="5" tint="-0.499984740745262"/>
      </left>
      <right style="thick">
        <color theme="5" tint="-0.499984740745262"/>
      </right>
      <top style="thin">
        <color theme="5" tint="-0.499984740745262"/>
      </top>
      <bottom/>
      <diagonal/>
    </border>
    <border>
      <left/>
      <right style="thick">
        <color theme="8" tint="-0.499984740745262"/>
      </right>
      <top style="thin">
        <color theme="0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9" tint="-0.499984740745262"/>
      </left>
      <right style="double">
        <color theme="9" tint="-0.499984740745262"/>
      </right>
      <top style="thin">
        <color theme="9" tint="-0.499984740745262"/>
      </top>
      <bottom/>
      <diagonal/>
    </border>
    <border>
      <left/>
      <right/>
      <top style="thin">
        <color theme="9" tint="-0.499984740745262"/>
      </top>
      <bottom/>
      <diagonal/>
    </border>
    <border>
      <left style="thick">
        <color theme="9" tint="-0.499984740745262"/>
      </left>
      <right style="thick">
        <color theme="9" tint="-0.499984740745262"/>
      </right>
      <top style="thin">
        <color theme="9" tint="-0.499984740745262"/>
      </top>
      <bottom/>
      <diagonal/>
    </border>
    <border>
      <left style="double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double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double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8" tint="-0.499984740745262"/>
      </left>
      <right style="double">
        <color theme="8" tint="-0.499984740745262"/>
      </right>
      <top/>
      <bottom/>
      <diagonal/>
    </border>
    <border>
      <left style="thin">
        <color theme="5" tint="-0.499984740745262"/>
      </left>
      <right style="double">
        <color theme="5" tint="-0.499984740745262"/>
      </right>
      <top/>
      <bottom/>
      <diagonal/>
    </border>
    <border>
      <left style="double">
        <color theme="5" tint="-0.499984740745262"/>
      </left>
      <right style="thin">
        <color theme="9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9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auto="1"/>
      </left>
      <right style="thick">
        <color theme="5" tint="-0.499984740745262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theme="5" tint="-0.499984740745262"/>
      </right>
      <top style="thin">
        <color auto="1"/>
      </top>
      <bottom/>
      <diagonal/>
    </border>
    <border>
      <left style="medium">
        <color auto="1"/>
      </left>
      <right style="thick">
        <color theme="5" tint="-0.499984740745262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ck">
        <color theme="8" tint="-0.499984740745262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theme="8" tint="-0.499984740745262"/>
      </right>
      <top style="thin">
        <color auto="1"/>
      </top>
      <bottom/>
      <diagonal/>
    </border>
    <border>
      <left style="medium">
        <color auto="1"/>
      </left>
      <right style="thick">
        <color theme="8" tint="-0.499984740745262"/>
      </right>
      <top style="medium">
        <color indexed="64"/>
      </top>
      <bottom style="medium">
        <color auto="1"/>
      </bottom>
      <diagonal/>
    </border>
    <border>
      <left style="medium">
        <color theme="9" tint="-0.499984740745262"/>
      </left>
      <right style="thick">
        <color theme="9" tint="-0.499984740745262"/>
      </right>
      <top style="thin">
        <color theme="9" tint="-0.499984740745262"/>
      </top>
      <bottom/>
      <diagonal/>
    </border>
    <border>
      <left style="medium">
        <color indexed="64"/>
      </left>
      <right style="thick">
        <color theme="9" tint="-0.499984740745262"/>
      </right>
      <top/>
      <bottom style="thin">
        <color indexed="64"/>
      </bottom>
      <diagonal/>
    </border>
    <border>
      <left style="medium">
        <color indexed="64"/>
      </left>
      <right style="thick">
        <color theme="9" tint="-0.499984740745262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theme="9" tint="-0.499984740745262"/>
      </right>
      <top style="thin">
        <color auto="1"/>
      </top>
      <bottom/>
      <diagonal/>
    </border>
    <border>
      <left style="medium">
        <color indexed="64"/>
      </left>
      <right style="thick">
        <color theme="9" tint="-0.499984740745262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ck">
        <color theme="8" tint="-0.499984740745262"/>
      </right>
      <top/>
      <bottom style="thin">
        <color indexed="64"/>
      </bottom>
      <diagonal/>
    </border>
    <border>
      <left style="double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 style="medium">
        <color theme="8" tint="-0.499984740745262"/>
      </left>
      <right style="thick">
        <color theme="8" tint="-0.499984740745262"/>
      </right>
      <top style="thin">
        <color theme="8" tint="-0.499984740745262"/>
      </top>
      <bottom/>
      <diagonal/>
    </border>
    <border>
      <left style="medium">
        <color auto="1"/>
      </left>
      <right style="thick">
        <color theme="5" tint="-0.499984740745262"/>
      </right>
      <top/>
      <bottom style="thin">
        <color indexed="64"/>
      </bottom>
      <diagonal/>
    </border>
    <border>
      <left style="double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medium">
        <color theme="5" tint="-0.499984740745262"/>
      </left>
      <right style="thick">
        <color theme="5" tint="-0.499984740745262"/>
      </right>
      <top style="thin">
        <color theme="5" tint="-0.499984740745262"/>
      </top>
      <bottom/>
      <diagonal/>
    </border>
    <border>
      <left style="thick">
        <color theme="8" tint="-0.499984740745262"/>
      </left>
      <right style="thick">
        <color theme="8" tint="-0.499984740745262"/>
      </right>
      <top/>
      <bottom style="thin">
        <color indexed="64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indexed="64"/>
      </top>
      <bottom/>
      <diagonal/>
    </border>
    <border>
      <left style="thick">
        <color theme="8" tint="-0.499984740745262"/>
      </left>
      <right style="thick">
        <color theme="8" tint="-0.499984740745262"/>
      </right>
      <top style="medium">
        <color indexed="64"/>
      </top>
      <bottom style="medium">
        <color indexed="64"/>
      </bottom>
      <diagonal/>
    </border>
    <border>
      <left style="thick">
        <color theme="5" tint="-0.499984740745262"/>
      </left>
      <right style="thick">
        <color theme="5" tint="-0.499984740745262"/>
      </right>
      <top/>
      <bottom style="thin">
        <color indexed="64"/>
      </bottom>
      <diagonal/>
    </border>
    <border>
      <left style="thick">
        <color theme="5" tint="-0.499984740745262"/>
      </left>
      <right style="thick">
        <color theme="5" tint="-0.499984740745262"/>
      </right>
      <top style="thin">
        <color indexed="64"/>
      </top>
      <bottom style="thin">
        <color indexed="64"/>
      </bottom>
      <diagonal/>
    </border>
    <border>
      <left style="thick">
        <color theme="5" tint="-0.499984740745262"/>
      </left>
      <right style="thick">
        <color theme="5" tint="-0.499984740745262"/>
      </right>
      <top style="thin">
        <color indexed="64"/>
      </top>
      <bottom/>
      <diagonal/>
    </border>
    <border>
      <left style="thick">
        <color theme="5" tint="-0.499984740745262"/>
      </left>
      <right style="thick">
        <color theme="5" tint="-0.499984740745262"/>
      </right>
      <top style="medium">
        <color indexed="64"/>
      </top>
      <bottom style="medium">
        <color indexed="64"/>
      </bottom>
      <diagonal/>
    </border>
    <border>
      <left/>
      <right style="thick">
        <color theme="9" tint="-0.499984740745262"/>
      </right>
      <top/>
      <bottom style="thin">
        <color theme="0"/>
      </bottom>
      <diagonal/>
    </border>
    <border>
      <left/>
      <right style="thick">
        <color theme="9" tint="-0.499984740745262"/>
      </right>
      <top style="thin">
        <color theme="0"/>
      </top>
      <bottom style="thin">
        <color theme="9" tint="-0.499984740745262"/>
      </bottom>
      <diagonal/>
    </border>
    <border>
      <left/>
      <right/>
      <top style="thin">
        <color theme="0"/>
      </top>
      <bottom/>
      <diagonal/>
    </border>
    <border>
      <left/>
      <right style="thick">
        <color theme="8" tint="-0.499984740745262"/>
      </right>
      <top/>
      <bottom style="thin">
        <color theme="0"/>
      </bottom>
      <diagonal/>
    </border>
    <border>
      <left/>
      <right style="thick">
        <color theme="5" tint="-0.499984740745262"/>
      </right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theme="9" tint="-0.499984740745262"/>
      </left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theme="8" tint="-0.499984740745262"/>
      </left>
      <right style="thick">
        <color theme="8" tint="-0.499984740745262"/>
      </right>
      <top style="medium">
        <color indexed="64"/>
      </top>
      <bottom style="thick">
        <color theme="8" tint="-0.499984740745262"/>
      </bottom>
      <diagonal/>
    </border>
    <border>
      <left style="thick">
        <color theme="9" tint="-0.499984740745262"/>
      </left>
      <right style="thick">
        <color theme="9" tint="-0.499984740745262"/>
      </right>
      <top style="medium">
        <color indexed="64"/>
      </top>
      <bottom style="thick">
        <color theme="9" tint="-0.49998474074526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43" fontId="0" fillId="0" borderId="0" xfId="0" applyNumberFormat="1"/>
    <xf numFmtId="0" fontId="5" fillId="0" borderId="0" xfId="3" applyFont="1" applyAlignment="1">
      <alignment horizontal="center" vertical="center"/>
    </xf>
    <xf numFmtId="0" fontId="3" fillId="0" borderId="0" xfId="3" applyAlignment="1">
      <alignment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3" fillId="0" borderId="0" xfId="3" applyFill="1" applyBorder="1" applyAlignment="1">
      <alignment vertical="center"/>
    </xf>
    <xf numFmtId="0" fontId="8" fillId="0" borderId="4" xfId="3" applyFont="1" applyBorder="1" applyAlignment="1">
      <alignment horizontal="center" vertical="center"/>
    </xf>
    <xf numFmtId="164" fontId="8" fillId="0" borderId="4" xfId="4" applyNumberFormat="1" applyFont="1" applyBorder="1" applyAlignment="1">
      <alignment vertical="center"/>
    </xf>
    <xf numFmtId="165" fontId="8" fillId="0" borderId="4" xfId="5" applyNumberFormat="1" applyFont="1" applyBorder="1" applyAlignment="1">
      <alignment vertical="center"/>
    </xf>
    <xf numFmtId="165" fontId="8" fillId="0" borderId="0" xfId="5" applyNumberFormat="1" applyFont="1" applyBorder="1" applyAlignment="1">
      <alignment vertical="center"/>
    </xf>
    <xf numFmtId="164" fontId="8" fillId="0" borderId="0" xfId="4" applyNumberFormat="1" applyFont="1" applyBorder="1" applyAlignment="1">
      <alignment vertical="center"/>
    </xf>
    <xf numFmtId="0" fontId="7" fillId="0" borderId="5" xfId="3" applyFont="1" applyBorder="1" applyAlignment="1">
      <alignment horizontal="right" vertical="center"/>
    </xf>
    <xf numFmtId="164" fontId="7" fillId="0" borderId="5" xfId="4" applyNumberFormat="1" applyFont="1" applyBorder="1" applyAlignment="1">
      <alignment vertical="center"/>
    </xf>
    <xf numFmtId="165" fontId="7" fillId="0" borderId="5" xfId="5" applyNumberFormat="1" applyFont="1" applyBorder="1" applyAlignment="1">
      <alignment vertical="center"/>
    </xf>
    <xf numFmtId="165" fontId="7" fillId="0" borderId="0" xfId="5" applyNumberFormat="1" applyFont="1" applyBorder="1" applyAlignment="1">
      <alignment vertical="center"/>
    </xf>
    <xf numFmtId="0" fontId="7" fillId="0" borderId="0" xfId="3" applyFont="1" applyBorder="1" applyAlignment="1">
      <alignment vertical="center"/>
    </xf>
    <xf numFmtId="164" fontId="7" fillId="0" borderId="0" xfId="4" applyNumberFormat="1" applyFont="1" applyBorder="1" applyAlignment="1">
      <alignment vertical="center"/>
    </xf>
    <xf numFmtId="164" fontId="0" fillId="0" borderId="0" xfId="4" applyNumberFormat="1" applyFont="1" applyAlignment="1">
      <alignment vertical="center"/>
    </xf>
    <xf numFmtId="0" fontId="7" fillId="0" borderId="0" xfId="3" applyFont="1" applyFill="1" applyBorder="1" applyAlignment="1">
      <alignment horizontal="center" vertical="center"/>
    </xf>
    <xf numFmtId="164" fontId="8" fillId="0" borderId="4" xfId="4" applyNumberFormat="1" applyFont="1" applyFill="1" applyBorder="1" applyAlignment="1">
      <alignment vertical="center"/>
    </xf>
    <xf numFmtId="165" fontId="8" fillId="0" borderId="4" xfId="5" applyNumberFormat="1" applyFont="1" applyFill="1" applyBorder="1" applyAlignment="1">
      <alignment vertical="center"/>
    </xf>
    <xf numFmtId="164" fontId="8" fillId="0" borderId="0" xfId="4" applyNumberFormat="1" applyFont="1" applyFill="1" applyBorder="1" applyAlignment="1">
      <alignment vertical="center"/>
    </xf>
    <xf numFmtId="164" fontId="8" fillId="0" borderId="0" xfId="5" applyNumberFormat="1" applyFont="1" applyFill="1" applyBorder="1" applyAlignment="1">
      <alignment vertical="center"/>
    </xf>
    <xf numFmtId="164" fontId="7" fillId="0" borderId="5" xfId="4" applyNumberFormat="1" applyFont="1" applyFill="1" applyBorder="1" applyAlignment="1">
      <alignment vertical="center"/>
    </xf>
    <xf numFmtId="165" fontId="7" fillId="0" borderId="5" xfId="5" applyNumberFormat="1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10" fillId="0" borderId="0" xfId="3" applyFont="1" applyAlignment="1">
      <alignment vertical="center"/>
    </xf>
    <xf numFmtId="41" fontId="0" fillId="0" borderId="0" xfId="1" applyNumberFormat="1" applyFont="1"/>
    <xf numFmtId="0" fontId="6" fillId="0" borderId="0" xfId="3" applyFont="1" applyAlignment="1">
      <alignment horizontal="left" vertical="center"/>
    </xf>
    <xf numFmtId="0" fontId="7" fillId="3" borderId="3" xfId="3" applyFont="1" applyFill="1" applyBorder="1" applyAlignment="1">
      <alignment horizontal="left" vertical="center"/>
    </xf>
    <xf numFmtId="0" fontId="7" fillId="3" borderId="3" xfId="3" applyFont="1" applyFill="1" applyBorder="1" applyAlignment="1">
      <alignment horizontal="center" vertical="center" wrapText="1"/>
    </xf>
    <xf numFmtId="0" fontId="8" fillId="0" borderId="4" xfId="3" applyFont="1" applyBorder="1" applyAlignment="1">
      <alignment vertical="center"/>
    </xf>
    <xf numFmtId="0" fontId="7" fillId="0" borderId="5" xfId="3" applyFont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165" fontId="8" fillId="0" borderId="0" xfId="5" applyNumberFormat="1" applyFont="1" applyFill="1" applyBorder="1" applyAlignment="1">
      <alignment vertical="center"/>
    </xf>
    <xf numFmtId="41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0" fontId="0" fillId="0" borderId="0" xfId="2" applyNumberFormat="1" applyFont="1"/>
    <xf numFmtId="0" fontId="2" fillId="0" borderId="0" xfId="0" applyFont="1" applyAlignment="1">
      <alignment horizontal="right"/>
    </xf>
    <xf numFmtId="41" fontId="2" fillId="0" borderId="2" xfId="1" applyNumberFormat="1" applyFont="1" applyBorder="1"/>
    <xf numFmtId="0" fontId="0" fillId="0" borderId="6" xfId="0" applyBorder="1" applyAlignment="1">
      <alignment horizontal="right"/>
    </xf>
    <xf numFmtId="0" fontId="0" fillId="0" borderId="6" xfId="0" applyBorder="1"/>
    <xf numFmtId="166" fontId="0" fillId="0" borderId="6" xfId="1" applyNumberFormat="1" applyFont="1" applyBorder="1"/>
    <xf numFmtId="0" fontId="0" fillId="0" borderId="0" xfId="0" applyBorder="1" applyAlignment="1">
      <alignment horizontal="right"/>
    </xf>
    <xf numFmtId="0" fontId="0" fillId="0" borderId="0" xfId="0" applyBorder="1"/>
    <xf numFmtId="166" fontId="0" fillId="0" borderId="0" xfId="1" applyNumberFormat="1" applyFont="1" applyBorder="1"/>
    <xf numFmtId="166" fontId="0" fillId="0" borderId="1" xfId="1" applyNumberFormat="1" applyFont="1" applyBorder="1"/>
    <xf numFmtId="10" fontId="0" fillId="0" borderId="1" xfId="2" applyNumberFormat="1" applyFont="1" applyBorder="1"/>
    <xf numFmtId="10" fontId="0" fillId="0" borderId="0" xfId="2" applyNumberFormat="1" applyFont="1" applyBorder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43" fontId="2" fillId="0" borderId="0" xfId="1" applyFont="1" applyAlignment="1">
      <alignment vertical="top"/>
    </xf>
    <xf numFmtId="0" fontId="6" fillId="0" borderId="0" xfId="3" applyFont="1" applyAlignment="1">
      <alignment horizontal="center" vertical="center"/>
    </xf>
    <xf numFmtId="41" fontId="0" fillId="0" borderId="0" xfId="0" applyNumberFormat="1"/>
    <xf numFmtId="0" fontId="2" fillId="0" borderId="0" xfId="0" applyFont="1" applyAlignment="1">
      <alignment horizontal="left" vertical="top"/>
    </xf>
    <xf numFmtId="0" fontId="0" fillId="4" borderId="0" xfId="0" applyFill="1" applyAlignment="1">
      <alignment horizontal="right"/>
    </xf>
    <xf numFmtId="0" fontId="0" fillId="4" borderId="0" xfId="0" applyFill="1"/>
    <xf numFmtId="41" fontId="0" fillId="4" borderId="0" xfId="1" applyNumberFormat="1" applyFont="1" applyFill="1"/>
    <xf numFmtId="0" fontId="11" fillId="0" borderId="0" xfId="0" applyFont="1" applyAlignment="1">
      <alignment horizontal="left"/>
    </xf>
    <xf numFmtId="0" fontId="5" fillId="0" borderId="0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3" fillId="0" borderId="0" xfId="3"/>
    <xf numFmtId="165" fontId="8" fillId="0" borderId="9" xfId="5" applyNumberFormat="1" applyFont="1" applyBorder="1" applyAlignment="1">
      <alignment vertical="center"/>
    </xf>
    <xf numFmtId="44" fontId="8" fillId="0" borderId="4" xfId="5" applyFont="1" applyBorder="1" applyAlignment="1">
      <alignment vertical="center"/>
    </xf>
    <xf numFmtId="164" fontId="8" fillId="0" borderId="9" xfId="4" applyNumberFormat="1" applyFont="1" applyBorder="1" applyAlignment="1">
      <alignment vertical="center"/>
    </xf>
    <xf numFmtId="43" fontId="8" fillId="0" borderId="4" xfId="4" applyFont="1" applyBorder="1" applyAlignment="1">
      <alignment vertical="center"/>
    </xf>
    <xf numFmtId="165" fontId="7" fillId="0" borderId="9" xfId="5" applyNumberFormat="1" applyFont="1" applyBorder="1" applyAlignment="1">
      <alignment vertical="center"/>
    </xf>
    <xf numFmtId="44" fontId="7" fillId="0" borderId="5" xfId="5" applyFont="1" applyBorder="1" applyAlignment="1">
      <alignment vertical="center"/>
    </xf>
    <xf numFmtId="0" fontId="3" fillId="0" borderId="0" xfId="3" applyBorder="1" applyAlignment="1">
      <alignment vertical="center"/>
    </xf>
    <xf numFmtId="164" fontId="6" fillId="0" borderId="0" xfId="4" applyNumberFormat="1" applyFont="1" applyBorder="1" applyAlignment="1">
      <alignment horizontal="center" vertical="center"/>
    </xf>
    <xf numFmtId="164" fontId="8" fillId="0" borderId="9" xfId="4" applyNumberFormat="1" applyFont="1" applyFill="1" applyBorder="1" applyAlignment="1">
      <alignment vertical="center"/>
    </xf>
    <xf numFmtId="41" fontId="8" fillId="0" borderId="4" xfId="5" applyNumberFormat="1" applyFont="1" applyBorder="1" applyAlignment="1">
      <alignment vertical="center"/>
    </xf>
    <xf numFmtId="164" fontId="7" fillId="0" borderId="9" xfId="4" applyNumberFormat="1" applyFont="1" applyFill="1" applyBorder="1" applyAlignment="1">
      <alignment vertical="center"/>
    </xf>
    <xf numFmtId="0" fontId="7" fillId="0" borderId="0" xfId="3" applyFont="1" applyBorder="1" applyAlignment="1">
      <alignment horizontal="right" vertical="center"/>
    </xf>
    <xf numFmtId="164" fontId="7" fillId="0" borderId="0" xfId="4" applyNumberFormat="1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horizontal="right" vertical="center"/>
    </xf>
    <xf numFmtId="165" fontId="7" fillId="0" borderId="10" xfId="5" applyNumberFormat="1" applyFont="1" applyBorder="1" applyAlignment="1">
      <alignment vertical="center"/>
    </xf>
    <xf numFmtId="0" fontId="7" fillId="5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10" fontId="0" fillId="0" borderId="0" xfId="6" applyNumberFormat="1" applyFont="1" applyAlignment="1">
      <alignment vertical="center"/>
    </xf>
    <xf numFmtId="10" fontId="0" fillId="0" borderId="0" xfId="6" applyNumberFormat="1" applyFont="1" applyBorder="1" applyAlignment="1">
      <alignment vertical="center"/>
    </xf>
    <xf numFmtId="0" fontId="6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13" fillId="0" borderId="0" xfId="3" applyFont="1" applyAlignment="1">
      <alignment vertical="center"/>
    </xf>
    <xf numFmtId="0" fontId="0" fillId="0" borderId="0" xfId="0" applyFont="1"/>
    <xf numFmtId="0" fontId="13" fillId="0" borderId="4" xfId="3" applyFont="1" applyBorder="1" applyAlignment="1">
      <alignment horizontal="center" vertical="center"/>
    </xf>
    <xf numFmtId="43" fontId="13" fillId="0" borderId="4" xfId="4" applyNumberFormat="1" applyFont="1" applyBorder="1" applyAlignment="1">
      <alignment vertical="center"/>
    </xf>
    <xf numFmtId="165" fontId="12" fillId="0" borderId="0" xfId="5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2" fillId="0" borderId="0" xfId="3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3" xfId="3" applyFont="1" applyBorder="1" applyAlignment="1">
      <alignment horizontal="center" vertical="center"/>
    </xf>
    <xf numFmtId="43" fontId="13" fillId="0" borderId="3" xfId="4" applyNumberFormat="1" applyFont="1" applyBorder="1" applyAlignment="1">
      <alignment vertical="center"/>
    </xf>
    <xf numFmtId="0" fontId="12" fillId="0" borderId="14" xfId="3" applyFont="1" applyBorder="1" applyAlignment="1">
      <alignment horizontal="right" vertical="center"/>
    </xf>
    <xf numFmtId="42" fontId="12" fillId="0" borderId="14" xfId="5" applyNumberFormat="1" applyFont="1" applyBorder="1" applyAlignment="1">
      <alignment vertical="center"/>
    </xf>
    <xf numFmtId="44" fontId="12" fillId="0" borderId="14" xfId="5" applyNumberFormat="1" applyFont="1" applyBorder="1" applyAlignment="1">
      <alignment vertical="center"/>
    </xf>
    <xf numFmtId="0" fontId="13" fillId="0" borderId="22" xfId="3" applyFont="1" applyBorder="1" applyAlignment="1">
      <alignment vertical="center"/>
    </xf>
    <xf numFmtId="0" fontId="13" fillId="0" borderId="12" xfId="3" applyFont="1" applyBorder="1" applyAlignment="1">
      <alignment horizontal="center" vertical="center"/>
    </xf>
    <xf numFmtId="44" fontId="13" fillId="0" borderId="12" xfId="5" applyNumberFormat="1" applyFont="1" applyBorder="1" applyAlignment="1">
      <alignment vertical="center"/>
    </xf>
    <xf numFmtId="0" fontId="21" fillId="8" borderId="16" xfId="3" applyFont="1" applyFill="1" applyBorder="1" applyAlignment="1">
      <alignment horizontal="centerContinuous" vertical="center"/>
    </xf>
    <xf numFmtId="0" fontId="21" fillId="8" borderId="0" xfId="3" applyFont="1" applyFill="1" applyBorder="1" applyAlignment="1">
      <alignment horizontal="centerContinuous" vertical="center"/>
    </xf>
    <xf numFmtId="164" fontId="20" fillId="8" borderId="0" xfId="4" applyNumberFormat="1" applyFont="1" applyFill="1" applyBorder="1" applyAlignment="1">
      <alignment horizontal="centerContinuous" vertical="center"/>
    </xf>
    <xf numFmtId="164" fontId="20" fillId="8" borderId="19" xfId="4" applyNumberFormat="1" applyFont="1" applyFill="1" applyBorder="1" applyAlignment="1">
      <alignment horizontal="centerContinuous" vertical="center"/>
    </xf>
    <xf numFmtId="0" fontId="21" fillId="9" borderId="16" xfId="3" applyFont="1" applyFill="1" applyBorder="1" applyAlignment="1">
      <alignment horizontal="centerContinuous" vertical="center"/>
    </xf>
    <xf numFmtId="0" fontId="21" fillId="9" borderId="0" xfId="3" applyFont="1" applyFill="1" applyBorder="1" applyAlignment="1">
      <alignment horizontal="centerContinuous" vertical="center"/>
    </xf>
    <xf numFmtId="164" fontId="20" fillId="9" borderId="0" xfId="4" applyNumberFormat="1" applyFont="1" applyFill="1" applyBorder="1" applyAlignment="1">
      <alignment horizontal="centerContinuous" vertical="center"/>
    </xf>
    <xf numFmtId="164" fontId="20" fillId="9" borderId="19" xfId="4" applyNumberFormat="1" applyFont="1" applyFill="1" applyBorder="1" applyAlignment="1">
      <alignment horizontal="centerContinuous" vertical="center"/>
    </xf>
    <xf numFmtId="0" fontId="20" fillId="9" borderId="28" xfId="3" applyFont="1" applyFill="1" applyBorder="1" applyAlignment="1">
      <alignment horizontal="centerContinuous" vertical="center"/>
    </xf>
    <xf numFmtId="0" fontId="21" fillId="9" borderId="29" xfId="3" applyFont="1" applyFill="1" applyBorder="1" applyAlignment="1">
      <alignment horizontal="centerContinuous" vertical="center"/>
    </xf>
    <xf numFmtId="164" fontId="20" fillId="9" borderId="30" xfId="4" applyNumberFormat="1" applyFont="1" applyFill="1" applyBorder="1" applyAlignment="1">
      <alignment horizontal="centerContinuous" vertical="center"/>
    </xf>
    <xf numFmtId="0" fontId="20" fillId="9" borderId="31" xfId="3" applyFont="1" applyFill="1" applyBorder="1" applyAlignment="1">
      <alignment horizontal="centerContinuous" vertical="center"/>
    </xf>
    <xf numFmtId="0" fontId="20" fillId="8" borderId="32" xfId="3" applyFont="1" applyFill="1" applyBorder="1" applyAlignment="1">
      <alignment horizontal="centerContinuous" vertical="center"/>
    </xf>
    <xf numFmtId="0" fontId="21" fillId="8" borderId="33" xfId="3" applyFont="1" applyFill="1" applyBorder="1" applyAlignment="1">
      <alignment horizontal="centerContinuous" vertical="center"/>
    </xf>
    <xf numFmtId="164" fontId="20" fillId="8" borderId="25" xfId="4" applyNumberFormat="1" applyFont="1" applyFill="1" applyBorder="1" applyAlignment="1">
      <alignment horizontal="centerContinuous" vertical="center"/>
    </xf>
    <xf numFmtId="0" fontId="20" fillId="8" borderId="26" xfId="3" applyFont="1" applyFill="1" applyBorder="1" applyAlignment="1">
      <alignment horizontal="centerContinuous" vertical="center"/>
    </xf>
    <xf numFmtId="0" fontId="13" fillId="0" borderId="34" xfId="3" applyFont="1" applyBorder="1" applyAlignment="1">
      <alignment vertical="center"/>
    </xf>
    <xf numFmtId="0" fontId="21" fillId="10" borderId="16" xfId="3" applyFont="1" applyFill="1" applyBorder="1" applyAlignment="1">
      <alignment horizontal="centerContinuous" vertical="center"/>
    </xf>
    <xf numFmtId="0" fontId="21" fillId="10" borderId="0" xfId="3" applyFont="1" applyFill="1" applyBorder="1" applyAlignment="1">
      <alignment horizontal="centerContinuous" vertical="center"/>
    </xf>
    <xf numFmtId="164" fontId="20" fillId="10" borderId="0" xfId="4" applyNumberFormat="1" applyFont="1" applyFill="1" applyBorder="1" applyAlignment="1">
      <alignment horizontal="centerContinuous" vertical="center"/>
    </xf>
    <xf numFmtId="164" fontId="20" fillId="10" borderId="19" xfId="4" applyNumberFormat="1" applyFont="1" applyFill="1" applyBorder="1" applyAlignment="1">
      <alignment horizontal="centerContinuous" vertical="center"/>
    </xf>
    <xf numFmtId="0" fontId="20" fillId="10" borderId="38" xfId="3" applyFont="1" applyFill="1" applyBorder="1" applyAlignment="1">
      <alignment horizontal="centerContinuous" vertical="center"/>
    </xf>
    <xf numFmtId="0" fontId="21" fillId="10" borderId="39" xfId="3" applyFont="1" applyFill="1" applyBorder="1" applyAlignment="1">
      <alignment horizontal="centerContinuous" vertical="center"/>
    </xf>
    <xf numFmtId="164" fontId="20" fillId="10" borderId="40" xfId="4" applyNumberFormat="1" applyFont="1" applyFill="1" applyBorder="1" applyAlignment="1">
      <alignment horizontal="centerContinuous" vertical="center"/>
    </xf>
    <xf numFmtId="0" fontId="20" fillId="10" borderId="41" xfId="3" applyFont="1" applyFill="1" applyBorder="1" applyAlignment="1">
      <alignment horizontal="centerContinuous" vertical="center"/>
    </xf>
    <xf numFmtId="0" fontId="21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/>
    </xf>
    <xf numFmtId="0" fontId="20" fillId="8" borderId="48" xfId="3" applyFont="1" applyFill="1" applyBorder="1" applyAlignment="1">
      <alignment horizontal="centerContinuous" vertical="center"/>
    </xf>
    <xf numFmtId="0" fontId="20" fillId="9" borderId="49" xfId="3" applyFont="1" applyFill="1" applyBorder="1" applyAlignment="1">
      <alignment horizontal="centerContinuous" vertical="center"/>
    </xf>
    <xf numFmtId="0" fontId="20" fillId="10" borderId="50" xfId="3" applyFont="1" applyFill="1" applyBorder="1" applyAlignment="1">
      <alignment horizontal="centerContinuous" vertical="center"/>
    </xf>
    <xf numFmtId="0" fontId="13" fillId="0" borderId="51" xfId="3" applyFont="1" applyBorder="1" applyAlignment="1">
      <alignment vertical="center"/>
    </xf>
    <xf numFmtId="0" fontId="17" fillId="0" borderId="52" xfId="3" applyFont="1" applyFill="1" applyBorder="1" applyAlignment="1">
      <alignment vertical="center"/>
    </xf>
    <xf numFmtId="0" fontId="19" fillId="0" borderId="54" xfId="3" applyFont="1" applyFill="1" applyBorder="1" applyAlignment="1">
      <alignment vertical="center"/>
    </xf>
    <xf numFmtId="167" fontId="0" fillId="0" borderId="0" xfId="0" applyNumberFormat="1" applyAlignment="1">
      <alignment horizontal="center"/>
    </xf>
    <xf numFmtId="166" fontId="0" fillId="0" borderId="0" xfId="1" applyNumberFormat="1" applyFont="1" applyFill="1" applyBorder="1"/>
    <xf numFmtId="41" fontId="13" fillId="0" borderId="55" xfId="1" applyNumberFormat="1" applyFont="1" applyBorder="1" applyAlignment="1">
      <alignment vertical="center"/>
    </xf>
    <xf numFmtId="41" fontId="13" fillId="0" borderId="17" xfId="1" applyNumberFormat="1" applyFont="1" applyBorder="1" applyAlignment="1">
      <alignment vertical="center"/>
    </xf>
    <xf numFmtId="41" fontId="13" fillId="0" borderId="18" xfId="1" applyNumberFormat="1" applyFont="1" applyBorder="1" applyAlignment="1">
      <alignment vertical="center"/>
    </xf>
    <xf numFmtId="41" fontId="13" fillId="0" borderId="56" xfId="1" applyNumberFormat="1" applyFont="1" applyBorder="1" applyAlignment="1">
      <alignment vertical="center"/>
    </xf>
    <xf numFmtId="168" fontId="12" fillId="0" borderId="23" xfId="7" applyNumberFormat="1" applyFont="1" applyBorder="1" applyAlignment="1">
      <alignment vertical="center"/>
    </xf>
    <xf numFmtId="42" fontId="13" fillId="0" borderId="20" xfId="1" applyNumberFormat="1" applyFont="1" applyBorder="1" applyAlignment="1">
      <alignment vertical="center"/>
    </xf>
    <xf numFmtId="42" fontId="12" fillId="0" borderId="14" xfId="1" applyNumberFormat="1" applyFont="1" applyBorder="1" applyAlignment="1">
      <alignment vertical="center"/>
    </xf>
    <xf numFmtId="42" fontId="12" fillId="0" borderId="21" xfId="1" applyNumberFormat="1" applyFont="1" applyBorder="1" applyAlignment="1">
      <alignment vertical="center"/>
    </xf>
    <xf numFmtId="43" fontId="13" fillId="0" borderId="4" xfId="1" applyFont="1" applyBorder="1" applyAlignment="1">
      <alignment vertical="center"/>
    </xf>
    <xf numFmtId="43" fontId="13" fillId="0" borderId="3" xfId="1" applyFont="1" applyBorder="1" applyAlignment="1">
      <alignment vertical="center"/>
    </xf>
    <xf numFmtId="44" fontId="13" fillId="0" borderId="12" xfId="1" applyNumberFormat="1" applyFont="1" applyBorder="1" applyAlignment="1">
      <alignment vertical="center"/>
    </xf>
    <xf numFmtId="44" fontId="12" fillId="0" borderId="14" xfId="1" applyNumberFormat="1" applyFont="1" applyBorder="1" applyAlignment="1">
      <alignment vertical="center"/>
    </xf>
    <xf numFmtId="41" fontId="13" fillId="0" borderId="52" xfId="1" applyNumberFormat="1" applyFont="1" applyBorder="1" applyAlignment="1">
      <alignment vertical="center"/>
    </xf>
    <xf numFmtId="41" fontId="13" fillId="0" borderId="53" xfId="1" applyNumberFormat="1" applyFont="1" applyBorder="1" applyAlignment="1">
      <alignment vertical="center"/>
    </xf>
    <xf numFmtId="42" fontId="12" fillId="0" borderId="34" xfId="7" applyNumberFormat="1" applyFont="1" applyBorder="1" applyAlignment="1">
      <alignment vertical="center"/>
    </xf>
    <xf numFmtId="42" fontId="12" fillId="0" borderId="35" xfId="7" applyNumberFormat="1" applyFont="1" applyBorder="1" applyAlignment="1">
      <alignment vertical="center"/>
    </xf>
    <xf numFmtId="41" fontId="13" fillId="0" borderId="43" xfId="1" applyNumberFormat="1" applyFont="1" applyBorder="1" applyAlignment="1">
      <alignment vertical="center"/>
    </xf>
    <xf numFmtId="41" fontId="13" fillId="0" borderId="44" xfId="1" applyNumberFormat="1" applyFont="1" applyBorder="1" applyAlignment="1">
      <alignment vertical="center"/>
    </xf>
    <xf numFmtId="41" fontId="13" fillId="0" borderId="46" xfId="1" applyNumberFormat="1" applyFont="1" applyBorder="1" applyAlignment="1">
      <alignment vertical="center"/>
    </xf>
    <xf numFmtId="42" fontId="13" fillId="0" borderId="42" xfId="1" applyNumberFormat="1" applyFont="1" applyBorder="1" applyAlignment="1">
      <alignment vertical="center"/>
    </xf>
    <xf numFmtId="42" fontId="12" fillId="0" borderId="45" xfId="1" applyNumberFormat="1" applyFont="1" applyBorder="1" applyAlignment="1">
      <alignment vertical="center"/>
    </xf>
    <xf numFmtId="42" fontId="12" fillId="0" borderId="47" xfId="1" applyNumberFormat="1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37" fontId="13" fillId="0" borderId="12" xfId="1" applyNumberFormat="1" applyFont="1" applyBorder="1" applyAlignment="1">
      <alignment horizontal="center" vertical="center"/>
    </xf>
    <xf numFmtId="37" fontId="13" fillId="0" borderId="11" xfId="1" applyNumberFormat="1" applyFont="1" applyFill="1" applyBorder="1" applyAlignment="1">
      <alignment horizontal="center" vertical="center"/>
    </xf>
    <xf numFmtId="37" fontId="13" fillId="0" borderId="4" xfId="1" applyNumberFormat="1" applyFont="1" applyBorder="1" applyAlignment="1">
      <alignment horizontal="center" vertical="center"/>
    </xf>
    <xf numFmtId="37" fontId="13" fillId="0" borderId="7" xfId="1" applyNumberFormat="1" applyFont="1" applyFill="1" applyBorder="1" applyAlignment="1">
      <alignment horizontal="center" vertical="center"/>
    </xf>
    <xf numFmtId="37" fontId="13" fillId="0" borderId="3" xfId="1" applyNumberFormat="1" applyFont="1" applyBorder="1" applyAlignment="1">
      <alignment horizontal="center" vertical="center"/>
    </xf>
    <xf numFmtId="37" fontId="13" fillId="0" borderId="13" xfId="1" applyNumberFormat="1" applyFont="1" applyFill="1" applyBorder="1" applyAlignment="1">
      <alignment horizontal="center" vertical="center"/>
    </xf>
    <xf numFmtId="37" fontId="12" fillId="0" borderId="14" xfId="1" applyNumberFormat="1" applyFont="1" applyBorder="1" applyAlignment="1">
      <alignment horizontal="center" vertical="center"/>
    </xf>
    <xf numFmtId="37" fontId="12" fillId="0" borderId="15" xfId="1" applyNumberFormat="1" applyFont="1" applyBorder="1" applyAlignment="1">
      <alignment horizontal="center" vertical="center"/>
    </xf>
    <xf numFmtId="164" fontId="20" fillId="8" borderId="64" xfId="4" applyNumberFormat="1" applyFont="1" applyFill="1" applyBorder="1" applyAlignment="1">
      <alignment horizontal="centerContinuous" vertical="center"/>
    </xf>
    <xf numFmtId="0" fontId="18" fillId="7" borderId="61" xfId="3" applyFont="1" applyFill="1" applyBorder="1" applyAlignment="1">
      <alignment horizontal="center" vertical="center" wrapText="1"/>
    </xf>
    <xf numFmtId="0" fontId="18" fillId="7" borderId="65" xfId="3" applyFont="1" applyFill="1" applyBorder="1" applyAlignment="1">
      <alignment horizontal="center" vertical="center" wrapText="1"/>
    </xf>
    <xf numFmtId="164" fontId="20" fillId="9" borderId="66" xfId="4" applyNumberFormat="1" applyFont="1" applyFill="1" applyBorder="1" applyAlignment="1">
      <alignment horizontal="centerContinuous" vertical="center"/>
    </xf>
    <xf numFmtId="0" fontId="16" fillId="6" borderId="67" xfId="3" applyFont="1" applyFill="1" applyBorder="1" applyAlignment="1">
      <alignment horizontal="center" vertical="center" wrapText="1"/>
    </xf>
    <xf numFmtId="0" fontId="14" fillId="5" borderId="69" xfId="3" applyFont="1" applyFill="1" applyBorder="1" applyAlignment="1">
      <alignment horizontal="center" vertical="center" wrapText="1"/>
    </xf>
    <xf numFmtId="0" fontId="14" fillId="5" borderId="72" xfId="3" applyFont="1" applyFill="1" applyBorder="1" applyAlignment="1">
      <alignment horizontal="centerContinuous" vertical="center" wrapText="1"/>
    </xf>
    <xf numFmtId="0" fontId="14" fillId="5" borderId="62" xfId="3" applyFont="1" applyFill="1" applyBorder="1" applyAlignment="1">
      <alignment horizontal="centerContinuous" vertical="center" wrapText="1"/>
    </xf>
    <xf numFmtId="0" fontId="14" fillId="5" borderId="58" xfId="3" applyFont="1" applyFill="1" applyBorder="1" applyAlignment="1">
      <alignment horizontal="centerContinuous" vertical="center" wrapText="1"/>
    </xf>
    <xf numFmtId="0" fontId="14" fillId="5" borderId="73" xfId="3" applyFont="1" applyFill="1" applyBorder="1" applyAlignment="1">
      <alignment horizontal="center" vertical="center" wrapText="1"/>
    </xf>
    <xf numFmtId="0" fontId="14" fillId="5" borderId="63" xfId="3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Continuous" vertical="center"/>
    </xf>
    <xf numFmtId="165" fontId="8" fillId="11" borderId="4" xfId="5" applyNumberFormat="1" applyFont="1" applyFill="1" applyBorder="1" applyAlignment="1">
      <alignment vertical="center"/>
    </xf>
    <xf numFmtId="164" fontId="8" fillId="11" borderId="4" xfId="4" applyNumberFormat="1" applyFont="1" applyFill="1" applyBorder="1" applyAlignment="1">
      <alignment vertical="center"/>
    </xf>
    <xf numFmtId="0" fontId="19" fillId="0" borderId="0" xfId="3" applyFont="1" applyFill="1" applyBorder="1" applyAlignment="1">
      <alignment vertical="center"/>
    </xf>
    <xf numFmtId="0" fontId="18" fillId="7" borderId="60" xfId="3" applyFont="1" applyFill="1" applyBorder="1" applyAlignment="1">
      <alignment horizontal="centerContinuous" vertical="center" wrapText="1"/>
    </xf>
    <xf numFmtId="0" fontId="18" fillId="7" borderId="76" xfId="3" applyFont="1" applyFill="1" applyBorder="1" applyAlignment="1">
      <alignment horizontal="centerContinuous" vertical="center" wrapText="1"/>
    </xf>
    <xf numFmtId="0" fontId="18" fillId="7" borderId="77" xfId="3" applyFont="1" applyFill="1" applyBorder="1" applyAlignment="1">
      <alignment horizontal="centerContinuous" vertical="center" wrapText="1"/>
    </xf>
    <xf numFmtId="0" fontId="16" fillId="6" borderId="71" xfId="3" applyFont="1" applyFill="1" applyBorder="1" applyAlignment="1">
      <alignment horizontal="centerContinuous" vertical="center" wrapText="1"/>
    </xf>
    <xf numFmtId="0" fontId="14" fillId="6" borderId="78" xfId="3" applyFont="1" applyFill="1" applyBorder="1" applyAlignment="1">
      <alignment horizontal="centerContinuous" vertical="center" wrapText="1"/>
    </xf>
    <xf numFmtId="0" fontId="14" fillId="6" borderId="57" xfId="3" applyFont="1" applyFill="1" applyBorder="1" applyAlignment="1">
      <alignment horizontal="centerContinuous" vertical="center" wrapText="1"/>
    </xf>
    <xf numFmtId="41" fontId="13" fillId="0" borderId="7" xfId="1" applyNumberFormat="1" applyFont="1" applyBorder="1" applyAlignment="1">
      <alignment vertical="center"/>
    </xf>
    <xf numFmtId="41" fontId="13" fillId="0" borderId="13" xfId="1" applyNumberFormat="1" applyFont="1" applyBorder="1" applyAlignment="1">
      <alignment vertical="center"/>
    </xf>
    <xf numFmtId="42" fontId="12" fillId="0" borderId="15" xfId="1" applyNumberFormat="1" applyFont="1" applyBorder="1" applyAlignment="1">
      <alignment vertical="center"/>
    </xf>
    <xf numFmtId="41" fontId="13" fillId="0" borderId="79" xfId="1" applyNumberFormat="1" applyFont="1" applyBorder="1" applyAlignment="1">
      <alignment vertical="center"/>
    </xf>
    <xf numFmtId="41" fontId="13" fillId="0" borderId="80" xfId="1" applyNumberFormat="1" applyFont="1" applyBorder="1" applyAlignment="1">
      <alignment vertical="center"/>
    </xf>
    <xf numFmtId="42" fontId="12" fillId="0" borderId="81" xfId="1" applyNumberFormat="1" applyFont="1" applyBorder="1" applyAlignment="1">
      <alignment vertical="center"/>
    </xf>
    <xf numFmtId="41" fontId="13" fillId="0" borderId="82" xfId="1" applyNumberFormat="1" applyFont="1" applyBorder="1" applyAlignment="1">
      <alignment vertical="center"/>
    </xf>
    <xf numFmtId="41" fontId="13" fillId="0" borderId="83" xfId="1" applyNumberFormat="1" applyFont="1" applyBorder="1" applyAlignment="1">
      <alignment vertical="center"/>
    </xf>
    <xf numFmtId="42" fontId="12" fillId="0" borderId="84" xfId="1" applyNumberFormat="1" applyFont="1" applyBorder="1" applyAlignment="1">
      <alignment vertical="center"/>
    </xf>
    <xf numFmtId="0" fontId="14" fillId="5" borderId="85" xfId="3" applyFont="1" applyFill="1" applyBorder="1" applyAlignment="1">
      <alignment horizontal="center" vertical="center" wrapText="1"/>
    </xf>
    <xf numFmtId="42" fontId="13" fillId="0" borderId="11" xfId="1" applyNumberFormat="1" applyFont="1" applyBorder="1" applyAlignment="1">
      <alignment vertical="center"/>
    </xf>
    <xf numFmtId="42" fontId="13" fillId="0" borderId="86" xfId="1" applyNumberFormat="1" applyFont="1" applyBorder="1" applyAlignment="1">
      <alignment vertical="center"/>
    </xf>
    <xf numFmtId="41" fontId="13" fillId="0" borderId="87" xfId="1" applyNumberFormat="1" applyFont="1" applyBorder="1" applyAlignment="1">
      <alignment vertical="center"/>
    </xf>
    <xf numFmtId="41" fontId="13" fillId="0" borderId="88" xfId="1" applyNumberFormat="1" applyFont="1" applyBorder="1" applyAlignment="1">
      <alignment vertical="center"/>
    </xf>
    <xf numFmtId="42" fontId="12" fillId="0" borderId="89" xfId="1" applyNumberFormat="1" applyFont="1" applyBorder="1" applyAlignment="1">
      <alignment vertical="center"/>
    </xf>
    <xf numFmtId="42" fontId="13" fillId="0" borderId="90" xfId="1" applyNumberFormat="1" applyFont="1" applyBorder="1" applyAlignment="1">
      <alignment vertical="center"/>
    </xf>
    <xf numFmtId="0" fontId="16" fillId="6" borderId="91" xfId="3" applyFont="1" applyFill="1" applyBorder="1" applyAlignment="1">
      <alignment horizontal="center" vertical="center" wrapText="1"/>
    </xf>
    <xf numFmtId="0" fontId="16" fillId="6" borderId="92" xfId="3" applyFont="1" applyFill="1" applyBorder="1" applyAlignment="1">
      <alignment horizontal="center" vertical="center" wrapText="1"/>
    </xf>
    <xf numFmtId="0" fontId="16" fillId="6" borderId="93" xfId="3" applyFont="1" applyFill="1" applyBorder="1" applyAlignment="1">
      <alignment horizontal="center" vertical="center" wrapText="1"/>
    </xf>
    <xf numFmtId="42" fontId="13" fillId="0" borderId="94" xfId="1" applyNumberFormat="1" applyFont="1" applyBorder="1" applyAlignment="1">
      <alignment vertical="center"/>
    </xf>
    <xf numFmtId="0" fontId="18" fillId="7" borderId="95" xfId="3" applyFont="1" applyFill="1" applyBorder="1" applyAlignment="1">
      <alignment horizontal="center" vertical="center" wrapText="1"/>
    </xf>
    <xf numFmtId="0" fontId="18" fillId="7" borderId="96" xfId="3" applyFont="1" applyFill="1" applyBorder="1" applyAlignment="1">
      <alignment horizontal="center" vertical="center" wrapText="1"/>
    </xf>
    <xf numFmtId="165" fontId="7" fillId="11" borderId="0" xfId="5" applyNumberFormat="1" applyFont="1" applyFill="1" applyBorder="1" applyAlignment="1">
      <alignment vertical="center"/>
    </xf>
    <xf numFmtId="9" fontId="0" fillId="0" borderId="0" xfId="2" applyFont="1" applyAlignment="1">
      <alignment vertical="center"/>
    </xf>
    <xf numFmtId="42" fontId="13" fillId="0" borderId="97" xfId="1" applyNumberFormat="1" applyFont="1" applyBorder="1" applyAlignment="1">
      <alignment vertical="center"/>
    </xf>
    <xf numFmtId="41" fontId="13" fillId="0" borderId="98" xfId="1" applyNumberFormat="1" applyFont="1" applyBorder="1" applyAlignment="1">
      <alignment vertical="center"/>
    </xf>
    <xf numFmtId="41" fontId="13" fillId="0" borderId="99" xfId="1" applyNumberFormat="1" applyFont="1" applyBorder="1" applyAlignment="1">
      <alignment vertical="center"/>
    </xf>
    <xf numFmtId="42" fontId="12" fillId="0" borderId="100" xfId="1" applyNumberFormat="1" applyFont="1" applyBorder="1" applyAlignment="1">
      <alignment vertical="center"/>
    </xf>
    <xf numFmtId="42" fontId="13" fillId="0" borderId="101" xfId="1" applyNumberFormat="1" applyFont="1" applyBorder="1" applyAlignment="1">
      <alignment vertical="center"/>
    </xf>
    <xf numFmtId="41" fontId="13" fillId="0" borderId="102" xfId="1" applyNumberFormat="1" applyFont="1" applyBorder="1" applyAlignment="1">
      <alignment vertical="center"/>
    </xf>
    <xf numFmtId="41" fontId="13" fillId="0" borderId="103" xfId="1" applyNumberFormat="1" applyFont="1" applyBorder="1" applyAlignment="1">
      <alignment vertical="center"/>
    </xf>
    <xf numFmtId="42" fontId="12" fillId="0" borderId="104" xfId="1" applyNumberFormat="1" applyFont="1" applyBorder="1" applyAlignment="1">
      <alignment vertical="center"/>
    </xf>
    <xf numFmtId="168" fontId="12" fillId="0" borderId="101" xfId="7" applyNumberFormat="1" applyFont="1" applyBorder="1" applyAlignment="1">
      <alignment vertical="center"/>
    </xf>
    <xf numFmtId="42" fontId="12" fillId="0" borderId="46" xfId="1" applyNumberFormat="1" applyFont="1" applyFill="1" applyBorder="1" applyAlignment="1">
      <alignment vertical="center"/>
    </xf>
    <xf numFmtId="0" fontId="6" fillId="0" borderId="0" xfId="3" applyFont="1" applyAlignment="1">
      <alignment horizontal="center" vertical="center"/>
    </xf>
    <xf numFmtId="0" fontId="21" fillId="10" borderId="105" xfId="3" applyFont="1" applyFill="1" applyBorder="1" applyAlignment="1">
      <alignment horizontal="centerContinuous" vertical="center"/>
    </xf>
    <xf numFmtId="164" fontId="20" fillId="10" borderId="106" xfId="4" applyNumberFormat="1" applyFont="1" applyFill="1" applyBorder="1" applyAlignment="1">
      <alignment horizontal="centerContinuous" vertical="center"/>
    </xf>
    <xf numFmtId="0" fontId="21" fillId="0" borderId="107" xfId="3" applyFont="1" applyFill="1" applyBorder="1" applyAlignment="1">
      <alignment vertical="center"/>
    </xf>
    <xf numFmtId="0" fontId="21" fillId="9" borderId="108" xfId="3" applyFont="1" applyFill="1" applyBorder="1" applyAlignment="1">
      <alignment horizontal="centerContinuous" vertical="center"/>
    </xf>
    <xf numFmtId="0" fontId="21" fillId="8" borderId="109" xfId="3" applyFont="1" applyFill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42" fontId="7" fillId="0" borderId="46" xfId="1" applyNumberFormat="1" applyFont="1" applyFill="1" applyBorder="1" applyAlignment="1">
      <alignment vertical="center"/>
    </xf>
    <xf numFmtId="42" fontId="7" fillId="0" borderId="47" xfId="1" applyNumberFormat="1" applyFont="1" applyBorder="1" applyAlignment="1">
      <alignment vertical="center"/>
    </xf>
    <xf numFmtId="3" fontId="8" fillId="0" borderId="4" xfId="4" applyNumberFormat="1" applyFont="1" applyBorder="1" applyAlignment="1">
      <alignment horizontal="center" vertical="center"/>
    </xf>
    <xf numFmtId="41" fontId="8" fillId="0" borderId="4" xfId="1" applyNumberFormat="1" applyFont="1" applyBorder="1" applyAlignment="1">
      <alignment vertical="center"/>
    </xf>
    <xf numFmtId="42" fontId="8" fillId="0" borderId="4" xfId="1" applyNumberFormat="1" applyFont="1" applyBorder="1" applyAlignment="1">
      <alignment vertical="center"/>
    </xf>
    <xf numFmtId="0" fontId="5" fillId="0" borderId="0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3" fontId="8" fillId="0" borderId="9" xfId="4" applyNumberFormat="1" applyFont="1" applyFill="1" applyBorder="1" applyAlignment="1">
      <alignment horizontal="center" vertical="center"/>
    </xf>
    <xf numFmtId="3" fontId="7" fillId="0" borderId="9" xfId="4" applyNumberFormat="1" applyFont="1" applyFill="1" applyBorder="1" applyAlignment="1">
      <alignment horizontal="center" vertical="center"/>
    </xf>
    <xf numFmtId="164" fontId="6" fillId="0" borderId="0" xfId="4" applyNumberFormat="1" applyFont="1" applyAlignment="1">
      <alignment vertical="center"/>
    </xf>
    <xf numFmtId="164" fontId="6" fillId="0" borderId="7" xfId="4" applyNumberFormat="1" applyFont="1" applyBorder="1" applyAlignment="1">
      <alignment horizontal="centerContinuous" vertical="center"/>
    </xf>
    <xf numFmtId="164" fontId="6" fillId="0" borderId="2" xfId="4" applyNumberFormat="1" applyFont="1" applyBorder="1" applyAlignment="1">
      <alignment horizontal="centerContinuous" vertical="center"/>
    </xf>
    <xf numFmtId="164" fontId="6" fillId="0" borderId="8" xfId="4" applyNumberFormat="1" applyFont="1" applyBorder="1" applyAlignment="1">
      <alignment horizontal="centerContinuous" vertical="center"/>
    </xf>
    <xf numFmtId="0" fontId="7" fillId="5" borderId="13" xfId="3" applyFont="1" applyFill="1" applyBorder="1" applyAlignment="1">
      <alignment horizontal="center" vertical="center" wrapText="1"/>
    </xf>
    <xf numFmtId="42" fontId="8" fillId="0" borderId="7" xfId="1" applyNumberFormat="1" applyFont="1" applyBorder="1" applyAlignment="1">
      <alignment vertical="center"/>
    </xf>
    <xf numFmtId="41" fontId="8" fillId="0" borderId="7" xfId="1" applyNumberFormat="1" applyFont="1" applyBorder="1" applyAlignment="1">
      <alignment vertical="center"/>
    </xf>
    <xf numFmtId="164" fontId="6" fillId="0" borderId="110" xfId="4" applyNumberFormat="1" applyFont="1" applyBorder="1" applyAlignment="1">
      <alignment horizontal="centerContinuous" vertical="center"/>
    </xf>
    <xf numFmtId="0" fontId="7" fillId="5" borderId="111" xfId="3" applyFont="1" applyFill="1" applyBorder="1" applyAlignment="1">
      <alignment horizontal="center" vertical="center" wrapText="1"/>
    </xf>
    <xf numFmtId="42" fontId="8" fillId="0" borderId="43" xfId="1" applyNumberFormat="1" applyFont="1" applyBorder="1" applyAlignment="1">
      <alignment vertical="center"/>
    </xf>
    <xf numFmtId="41" fontId="8" fillId="0" borderId="43" xfId="1" applyNumberFormat="1" applyFont="1" applyBorder="1" applyAlignment="1">
      <alignment vertical="center"/>
    </xf>
    <xf numFmtId="0" fontId="3" fillId="0" borderId="46" xfId="3" applyBorder="1" applyAlignment="1">
      <alignment vertical="center"/>
    </xf>
    <xf numFmtId="0" fontId="6" fillId="0" borderId="0" xfId="3" applyFont="1" applyAlignment="1">
      <alignment vertical="center"/>
    </xf>
    <xf numFmtId="0" fontId="6" fillId="0" borderId="13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110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" vertical="center"/>
    </xf>
    <xf numFmtId="3" fontId="8" fillId="0" borderId="3" xfId="4" applyNumberFormat="1" applyFont="1" applyBorder="1" applyAlignment="1">
      <alignment horizontal="center" vertical="center"/>
    </xf>
    <xf numFmtId="0" fontId="7" fillId="0" borderId="14" xfId="3" applyFont="1" applyBorder="1" applyAlignment="1">
      <alignment horizontal="right" vertical="center"/>
    </xf>
    <xf numFmtId="3" fontId="7" fillId="0" borderId="14" xfId="4" applyNumberFormat="1" applyFont="1" applyBorder="1" applyAlignment="1">
      <alignment horizontal="center" vertical="center"/>
    </xf>
    <xf numFmtId="41" fontId="8" fillId="0" borderId="3" xfId="1" applyNumberFormat="1" applyFont="1" applyBorder="1" applyAlignment="1">
      <alignment vertical="center"/>
    </xf>
    <xf numFmtId="42" fontId="7" fillId="0" borderId="14" xfId="1" applyNumberFormat="1" applyFont="1" applyBorder="1" applyAlignment="1">
      <alignment vertical="center"/>
    </xf>
    <xf numFmtId="41" fontId="8" fillId="0" borderId="13" xfId="1" applyNumberFormat="1" applyFont="1" applyBorder="1" applyAlignment="1">
      <alignment vertical="center"/>
    </xf>
    <xf numFmtId="41" fontId="8" fillId="0" borderId="44" xfId="1" applyNumberFormat="1" applyFont="1" applyBorder="1" applyAlignment="1">
      <alignment vertical="center"/>
    </xf>
    <xf numFmtId="42" fontId="7" fillId="0" borderId="15" xfId="1" applyNumberFormat="1" applyFont="1" applyBorder="1" applyAlignment="1">
      <alignment vertical="center"/>
    </xf>
    <xf numFmtId="42" fontId="7" fillId="0" borderId="45" xfId="1" applyNumberFormat="1" applyFont="1" applyBorder="1" applyAlignment="1">
      <alignment vertical="center"/>
    </xf>
    <xf numFmtId="37" fontId="13" fillId="0" borderId="12" xfId="1" applyNumberFormat="1" applyFont="1" applyFill="1" applyBorder="1" applyAlignment="1">
      <alignment horizontal="center" vertical="center"/>
    </xf>
    <xf numFmtId="37" fontId="13" fillId="0" borderId="4" xfId="1" applyNumberFormat="1" applyFont="1" applyFill="1" applyBorder="1" applyAlignment="1">
      <alignment horizontal="center" vertical="center"/>
    </xf>
    <xf numFmtId="37" fontId="13" fillId="0" borderId="3" xfId="1" applyNumberFormat="1" applyFont="1" applyFill="1" applyBorder="1" applyAlignment="1">
      <alignment horizontal="center" vertical="center"/>
    </xf>
    <xf numFmtId="3" fontId="8" fillId="0" borderId="4" xfId="4" applyNumberFormat="1" applyFont="1" applyFill="1" applyBorder="1" applyAlignment="1">
      <alignment horizontal="center" vertical="center"/>
    </xf>
    <xf numFmtId="3" fontId="8" fillId="0" borderId="3" xfId="4" applyNumberFormat="1" applyFont="1" applyFill="1" applyBorder="1" applyAlignment="1">
      <alignment horizontal="center" vertical="center"/>
    </xf>
    <xf numFmtId="42" fontId="13" fillId="0" borderId="12" xfId="1" applyNumberFormat="1" applyFont="1" applyFill="1" applyBorder="1" applyAlignment="1">
      <alignment vertical="center"/>
    </xf>
    <xf numFmtId="41" fontId="13" fillId="0" borderId="4" xfId="1" applyNumberFormat="1" applyFont="1" applyFill="1" applyBorder="1" applyAlignment="1">
      <alignment vertical="center"/>
    </xf>
    <xf numFmtId="41" fontId="13" fillId="0" borderId="3" xfId="1" applyNumberFormat="1" applyFont="1" applyFill="1" applyBorder="1" applyAlignment="1">
      <alignment vertical="center"/>
    </xf>
    <xf numFmtId="42" fontId="0" fillId="0" borderId="0" xfId="0" applyNumberFormat="1" applyFont="1"/>
    <xf numFmtId="41" fontId="13" fillId="0" borderId="4" xfId="4" applyNumberFormat="1" applyFont="1" applyFill="1" applyBorder="1" applyAlignment="1">
      <alignment vertical="center"/>
    </xf>
    <xf numFmtId="41" fontId="13" fillId="0" borderId="3" xfId="4" applyNumberFormat="1" applyFont="1" applyFill="1" applyBorder="1" applyAlignment="1">
      <alignment vertical="center"/>
    </xf>
    <xf numFmtId="2" fontId="0" fillId="0" borderId="0" xfId="1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0" fillId="0" borderId="0" xfId="2" applyNumberFormat="1" applyFont="1" applyAlignment="1">
      <alignment horizontal="center"/>
    </xf>
    <xf numFmtId="166" fontId="0" fillId="11" borderId="0" xfId="1" applyNumberFormat="1" applyFont="1" applyFill="1" applyBorder="1"/>
    <xf numFmtId="167" fontId="0" fillId="11" borderId="0" xfId="0" applyNumberFormat="1" applyFill="1" applyAlignment="1">
      <alignment horizontal="center"/>
    </xf>
    <xf numFmtId="43" fontId="0" fillId="11" borderId="0" xfId="1" applyNumberFormat="1" applyFont="1" applyFill="1" applyBorder="1"/>
    <xf numFmtId="42" fontId="12" fillId="0" borderId="112" xfId="1" applyNumberFormat="1" applyFont="1" applyBorder="1" applyAlignment="1">
      <alignment vertical="center"/>
    </xf>
    <xf numFmtId="42" fontId="12" fillId="0" borderId="113" xfId="1" applyNumberFormat="1" applyFont="1" applyBorder="1" applyAlignment="1">
      <alignment vertical="center"/>
    </xf>
    <xf numFmtId="0" fontId="4" fillId="0" borderId="0" xfId="3" applyFont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164" fontId="6" fillId="0" borderId="7" xfId="4" applyNumberFormat="1" applyFont="1" applyBorder="1" applyAlignment="1">
      <alignment horizontal="center" vertical="center"/>
    </xf>
    <xf numFmtId="164" fontId="6" fillId="0" borderId="2" xfId="4" applyNumberFormat="1" applyFont="1" applyBorder="1" applyAlignment="1">
      <alignment horizontal="center" vertical="center"/>
    </xf>
    <xf numFmtId="164" fontId="6" fillId="0" borderId="8" xfId="4" applyNumberFormat="1" applyFont="1" applyBorder="1" applyAlignment="1">
      <alignment horizontal="center" vertical="center"/>
    </xf>
    <xf numFmtId="0" fontId="16" fillId="6" borderId="27" xfId="3" applyFont="1" applyFill="1" applyBorder="1" applyAlignment="1">
      <alignment horizontal="center" vertical="center"/>
    </xf>
    <xf numFmtId="0" fontId="16" fillId="6" borderId="27" xfId="3" applyFont="1" applyFill="1" applyBorder="1" applyAlignment="1">
      <alignment horizontal="center" vertical="center" wrapText="1"/>
    </xf>
    <xf numFmtId="0" fontId="16" fillId="6" borderId="74" xfId="3" applyFont="1" applyFill="1" applyBorder="1" applyAlignment="1">
      <alignment horizontal="center" vertical="center" wrapText="1"/>
    </xf>
    <xf numFmtId="0" fontId="16" fillId="6" borderId="34" xfId="3" applyFont="1" applyFill="1" applyBorder="1" applyAlignment="1">
      <alignment horizontal="center" vertical="center" wrapText="1"/>
    </xf>
    <xf numFmtId="0" fontId="14" fillId="5" borderId="59" xfId="3" applyFont="1" applyFill="1" applyBorder="1" applyAlignment="1">
      <alignment horizontal="center" vertical="center"/>
    </xf>
    <xf numFmtId="0" fontId="14" fillId="5" borderId="37" xfId="3" applyFont="1" applyFill="1" applyBorder="1" applyAlignment="1">
      <alignment horizontal="center" vertical="center"/>
    </xf>
    <xf numFmtId="0" fontId="14" fillId="5" borderId="59" xfId="3" applyFont="1" applyFill="1" applyBorder="1" applyAlignment="1">
      <alignment horizontal="center" vertical="center" wrapText="1"/>
    </xf>
    <xf numFmtId="0" fontId="14" fillId="5" borderId="37" xfId="3" applyFont="1" applyFill="1" applyBorder="1" applyAlignment="1">
      <alignment horizontal="center" vertical="center" wrapText="1"/>
    </xf>
    <xf numFmtId="0" fontId="14" fillId="5" borderId="68" xfId="3" applyFont="1" applyFill="1" applyBorder="1" applyAlignment="1">
      <alignment horizontal="center" vertical="center" wrapText="1"/>
    </xf>
    <xf numFmtId="0" fontId="14" fillId="5" borderId="36" xfId="3" applyFont="1" applyFill="1" applyBorder="1" applyAlignment="1">
      <alignment horizontal="center" vertical="center" wrapText="1"/>
    </xf>
    <xf numFmtId="0" fontId="14" fillId="5" borderId="70" xfId="3" applyFont="1" applyFill="1" applyBorder="1" applyAlignment="1">
      <alignment horizontal="center" vertical="center" wrapText="1"/>
    </xf>
    <xf numFmtId="0" fontId="14" fillId="5" borderId="46" xfId="3" applyFont="1" applyFill="1" applyBorder="1" applyAlignment="1">
      <alignment horizontal="center" vertical="center" wrapText="1"/>
    </xf>
    <xf numFmtId="0" fontId="18" fillId="7" borderId="26" xfId="3" applyFont="1" applyFill="1" applyBorder="1" applyAlignment="1">
      <alignment horizontal="center" vertical="center" wrapText="1"/>
    </xf>
    <xf numFmtId="0" fontId="18" fillId="7" borderId="24" xfId="3" applyFont="1" applyFill="1" applyBorder="1" applyAlignment="1">
      <alignment horizontal="center" vertical="center"/>
    </xf>
    <xf numFmtId="0" fontId="18" fillId="7" borderId="24" xfId="3" applyFont="1" applyFill="1" applyBorder="1" applyAlignment="1">
      <alignment horizontal="center" vertical="center" wrapText="1"/>
    </xf>
    <xf numFmtId="0" fontId="18" fillId="7" borderId="75" xfId="3" applyFont="1" applyFill="1" applyBorder="1" applyAlignment="1">
      <alignment horizontal="center" vertical="center" wrapText="1"/>
    </xf>
    <xf numFmtId="0" fontId="18" fillId="7" borderId="22" xfId="3" applyFont="1" applyFill="1" applyBorder="1" applyAlignment="1">
      <alignment horizontal="center" vertical="center" wrapText="1"/>
    </xf>
    <xf numFmtId="0" fontId="18" fillId="7" borderId="25" xfId="3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</cellXfs>
  <cellStyles count="8">
    <cellStyle name="Comma" xfId="1" builtinId="3"/>
    <cellStyle name="Comma 2" xfId="4"/>
    <cellStyle name="Currency" xfId="7" builtinId="4"/>
    <cellStyle name="Currency 2" xfId="5"/>
    <cellStyle name="Normal" xfId="0" builtinId="0"/>
    <cellStyle name="Normal 2" xfId="3"/>
    <cellStyle name="Percent" xfId="2" builtin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chartsheet" Target="chartsheets/sheet2.xml"/><Relationship Id="rId12" Type="http://schemas.openxmlformats.org/officeDocument/2006/relationships/chartsheet" Target="chartsheets/sheet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chartsheet" Target="chartsheets/sheet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chartsheet" Target="chartsheets/sheet4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>
                    <a:lumMod val="75000"/>
                    <a:lumOff val="25000"/>
                  </a:schemeClr>
                </a:solidFill>
              </a:rPr>
              <a:t>County Match</a:t>
            </a:r>
            <a:r>
              <a:rPr lang="en-US" sz="2000" b="1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Rate</a:t>
            </a:r>
            <a:endParaRPr lang="en-US" sz="2000" b="1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Rate Charged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CA'!$E$27:$V$27</c:f>
              <c:numCache>
                <c:formatCode>_(* #,##0.00_);_(* \(#,##0.00\);_(* "-"??_);_(@_)</c:formatCode>
                <c:ptCount val="18"/>
                <c:pt idx="0">
                  <c:v>0.68</c:v>
                </c:pt>
                <c:pt idx="1">
                  <c:v>0.68</c:v>
                </c:pt>
                <c:pt idx="2">
                  <c:v>0.68</c:v>
                </c:pt>
                <c:pt idx="3">
                  <c:v>0.68</c:v>
                </c:pt>
                <c:pt idx="4">
                  <c:v>0.68</c:v>
                </c:pt>
                <c:pt idx="5">
                  <c:v>0.68</c:v>
                </c:pt>
                <c:pt idx="6">
                  <c:v>0.68</c:v>
                </c:pt>
                <c:pt idx="7">
                  <c:v>0.68</c:v>
                </c:pt>
                <c:pt idx="8">
                  <c:v>0.68</c:v>
                </c:pt>
                <c:pt idx="9">
                  <c:v>0.68</c:v>
                </c:pt>
                <c:pt idx="10">
                  <c:v>0.68</c:v>
                </c:pt>
                <c:pt idx="11">
                  <c:v>0.68</c:v>
                </c:pt>
                <c:pt idx="12">
                  <c:v>0.68</c:v>
                </c:pt>
                <c:pt idx="13">
                  <c:v>0.68</c:v>
                </c:pt>
                <c:pt idx="14">
                  <c:v>0.68</c:v>
                </c:pt>
                <c:pt idx="15">
                  <c:v>0.68</c:v>
                </c:pt>
                <c:pt idx="16">
                  <c:v>0.78</c:v>
                </c:pt>
                <c:pt idx="17">
                  <c:v>0.9</c:v>
                </c:pt>
              </c:numCache>
            </c:numRef>
          </c:val>
          <c:smooth val="0"/>
        </c:ser>
        <c:ser>
          <c:idx val="0"/>
          <c:order val="1"/>
          <c:tx>
            <c:v>Rate Adjusted for California CPI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CA'!$E$29:$V$29</c:f>
              <c:numCache>
                <c:formatCode>_(* #,##0.00_);_(* \(#,##0.00\);_(* "-"??_);_(@_)</c:formatCode>
                <c:ptCount val="18"/>
                <c:pt idx="0">
                  <c:v>0.68</c:v>
                </c:pt>
                <c:pt idx="1">
                  <c:v>0.71595402298850574</c:v>
                </c:pt>
                <c:pt idx="2">
                  <c:v>0.7265057471264369</c:v>
                </c:pt>
                <c:pt idx="3">
                  <c:v>0.74213793103448289</c:v>
                </c:pt>
                <c:pt idx="4">
                  <c:v>0.76519540229885075</c:v>
                </c:pt>
                <c:pt idx="5">
                  <c:v>0.78668965517241396</c:v>
                </c:pt>
                <c:pt idx="6">
                  <c:v>0.8242068965517243</c:v>
                </c:pt>
                <c:pt idx="7">
                  <c:v>0.84962482758620705</c:v>
                </c:pt>
                <c:pt idx="8">
                  <c:v>0.89230068965517262</c:v>
                </c:pt>
                <c:pt idx="9">
                  <c:v>0.87928689655172432</c:v>
                </c:pt>
                <c:pt idx="10">
                  <c:v>0.88756804597701167</c:v>
                </c:pt>
                <c:pt idx="11">
                  <c:v>0.91168850574712657</c:v>
                </c:pt>
                <c:pt idx="12">
                  <c:v>0.92925908045977024</c:v>
                </c:pt>
                <c:pt idx="13">
                  <c:v>0.94545793103448283</c:v>
                </c:pt>
                <c:pt idx="14">
                  <c:v>0.96617839080459789</c:v>
                </c:pt>
                <c:pt idx="15">
                  <c:v>0.97859034482758633</c:v>
                </c:pt>
                <c:pt idx="16">
                  <c:v>0.99880275862068979</c:v>
                </c:pt>
                <c:pt idx="17">
                  <c:v>1.025025747126437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22856"/>
        <c:axId val="203323640"/>
      </c:lineChart>
      <c:catAx>
        <c:axId val="203322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323640"/>
        <c:crosses val="autoZero"/>
        <c:auto val="1"/>
        <c:lblAlgn val="ctr"/>
        <c:lblOffset val="100"/>
        <c:noMultiLvlLbl val="0"/>
      </c:catAx>
      <c:valAx>
        <c:axId val="20332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322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>
                    <a:lumMod val="75000"/>
                    <a:lumOff val="25000"/>
                  </a:schemeClr>
                </a:solidFill>
              </a:rPr>
              <a:t>County Match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2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County Match Paid</c:v>
          </c:tx>
          <c:spPr>
            <a:ln w="31750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CA'!$E$14:$V$14</c:f>
              <c:numCache>
                <c:formatCode>_(* #,##0_);_(* \(#,##0\);_(* "-"_);_(@_)</c:formatCode>
                <c:ptCount val="18"/>
                <c:pt idx="0">
                  <c:v>194505</c:v>
                </c:pt>
                <c:pt idx="1">
                  <c:v>199933</c:v>
                </c:pt>
                <c:pt idx="2">
                  <c:v>203932</c:v>
                </c:pt>
                <c:pt idx="3">
                  <c:v>203932</c:v>
                </c:pt>
                <c:pt idx="4">
                  <c:v>203932</c:v>
                </c:pt>
                <c:pt idx="5">
                  <c:v>219522</c:v>
                </c:pt>
                <c:pt idx="6">
                  <c:v>224915</c:v>
                </c:pt>
                <c:pt idx="7">
                  <c:v>224915</c:v>
                </c:pt>
                <c:pt idx="8">
                  <c:v>251694</c:v>
                </c:pt>
                <c:pt idx="9">
                  <c:v>251694</c:v>
                </c:pt>
                <c:pt idx="10">
                  <c:v>251694</c:v>
                </c:pt>
                <c:pt idx="11">
                  <c:v>251694</c:v>
                </c:pt>
                <c:pt idx="12">
                  <c:v>251694</c:v>
                </c:pt>
                <c:pt idx="13">
                  <c:v>264320</c:v>
                </c:pt>
                <c:pt idx="14">
                  <c:v>302538</c:v>
                </c:pt>
                <c:pt idx="15">
                  <c:v>313539</c:v>
                </c:pt>
                <c:pt idx="16">
                  <c:v>372295</c:v>
                </c:pt>
                <c:pt idx="17">
                  <c:v>445027</c:v>
                </c:pt>
              </c:numCache>
            </c:numRef>
          </c:val>
          <c:smooth val="0"/>
        </c:ser>
        <c:ser>
          <c:idx val="1"/>
          <c:order val="1"/>
          <c:tx>
            <c:v>County Match Adjusted for California CPI</c:v>
          </c:tx>
          <c:spPr>
            <a:ln w="31750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CA'!$E$45:$V$45</c:f>
              <c:numCache>
                <c:formatCode>_(* #,##0_);_(* \(#,##0\);_(* "-"_);_(@_)</c:formatCode>
                <c:ptCount val="18"/>
                <c:pt idx="0">
                  <c:v>194505</c:v>
                </c:pt>
                <c:pt idx="1">
                  <c:v>210504.17011494251</c:v>
                </c:pt>
                <c:pt idx="2">
                  <c:v>217879.07356321844</c:v>
                </c:pt>
                <c:pt idx="3">
                  <c:v>222567.1655172414</c:v>
                </c:pt>
                <c:pt idx="4">
                  <c:v>229482.10114942532</c:v>
                </c:pt>
                <c:pt idx="5">
                  <c:v>253964.24482758626</c:v>
                </c:pt>
                <c:pt idx="6">
                  <c:v>272612.49137931038</c:v>
                </c:pt>
                <c:pt idx="7">
                  <c:v>281019.6589655173</c:v>
                </c:pt>
                <c:pt idx="8">
                  <c:v>330274.60262068972</c:v>
                </c:pt>
                <c:pt idx="9">
                  <c:v>325457.70020689658</c:v>
                </c:pt>
                <c:pt idx="10">
                  <c:v>328522.87024137937</c:v>
                </c:pt>
                <c:pt idx="11">
                  <c:v>337450.77465517248</c:v>
                </c:pt>
                <c:pt idx="12">
                  <c:v>343954.31617241382</c:v>
                </c:pt>
                <c:pt idx="13">
                  <c:v>367505.0593103448</c:v>
                </c:pt>
                <c:pt idx="14">
                  <c:v>429861.29117241385</c:v>
                </c:pt>
                <c:pt idx="15">
                  <c:v>451215.05606896558</c:v>
                </c:pt>
                <c:pt idx="16">
                  <c:v>476729.83720601239</c:v>
                </c:pt>
                <c:pt idx="17">
                  <c:v>506849.03685159661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>
              <a:solidFill>
                <a:schemeClr val="dk1">
                  <a:lumMod val="35000"/>
                  <a:lumOff val="65000"/>
                </a:schemeClr>
              </a:solidFill>
            </a:ln>
            <a:effectLst/>
          </c:spPr>
        </c:hiLowLines>
        <c:smooth val="0"/>
        <c:axId val="204762232"/>
        <c:axId val="204761056"/>
      </c:lineChart>
      <c:catAx>
        <c:axId val="20476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761056"/>
        <c:crosses val="autoZero"/>
        <c:auto val="1"/>
        <c:lblAlgn val="ctr"/>
        <c:lblOffset val="100"/>
        <c:noMultiLvlLbl val="0"/>
      </c:catAx>
      <c:valAx>
        <c:axId val="204761056"/>
        <c:scaling>
          <c:orientation val="minMax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&quot;$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76223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 rot="0" vert="horz"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>
                    <a:lumMod val="75000"/>
                    <a:lumOff val="25000"/>
                  </a:schemeClr>
                </a:solidFill>
              </a:rPr>
              <a:t>County Match</a:t>
            </a:r>
            <a:r>
              <a:rPr lang="en-US" sz="2000" b="1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Rate</a:t>
            </a:r>
            <a:endParaRPr lang="en-US" sz="2000" b="1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Rate Charged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CA'!$E$27:$V$27</c:f>
              <c:numCache>
                <c:formatCode>_(* #,##0.00_);_(* \(#,##0.00\);_(* "-"??_);_(@_)</c:formatCode>
                <c:ptCount val="18"/>
                <c:pt idx="0">
                  <c:v>0.68</c:v>
                </c:pt>
                <c:pt idx="1">
                  <c:v>0.68</c:v>
                </c:pt>
                <c:pt idx="2">
                  <c:v>0.68</c:v>
                </c:pt>
                <c:pt idx="3">
                  <c:v>0.68</c:v>
                </c:pt>
                <c:pt idx="4">
                  <c:v>0.68</c:v>
                </c:pt>
                <c:pt idx="5">
                  <c:v>0.68</c:v>
                </c:pt>
                <c:pt idx="6">
                  <c:v>0.68</c:v>
                </c:pt>
                <c:pt idx="7">
                  <c:v>0.68</c:v>
                </c:pt>
                <c:pt idx="8">
                  <c:v>0.68</c:v>
                </c:pt>
                <c:pt idx="9">
                  <c:v>0.68</c:v>
                </c:pt>
                <c:pt idx="10">
                  <c:v>0.68</c:v>
                </c:pt>
                <c:pt idx="11">
                  <c:v>0.68</c:v>
                </c:pt>
                <c:pt idx="12">
                  <c:v>0.68</c:v>
                </c:pt>
                <c:pt idx="13">
                  <c:v>0.68</c:v>
                </c:pt>
                <c:pt idx="14">
                  <c:v>0.68</c:v>
                </c:pt>
                <c:pt idx="15">
                  <c:v>0.68</c:v>
                </c:pt>
                <c:pt idx="16">
                  <c:v>0.78</c:v>
                </c:pt>
                <c:pt idx="17">
                  <c:v>0.9</c:v>
                </c:pt>
              </c:numCache>
            </c:numRef>
          </c:val>
          <c:smooth val="0"/>
        </c:ser>
        <c:ser>
          <c:idx val="0"/>
          <c:order val="1"/>
          <c:tx>
            <c:v>Rate Adjusted for California CPI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CA'!$E$29:$V$29</c:f>
              <c:numCache>
                <c:formatCode>_(* #,##0.00_);_(* \(#,##0.00\);_(* "-"??_);_(@_)</c:formatCode>
                <c:ptCount val="18"/>
                <c:pt idx="0">
                  <c:v>0.68</c:v>
                </c:pt>
                <c:pt idx="1">
                  <c:v>0.71595402298850574</c:v>
                </c:pt>
                <c:pt idx="2">
                  <c:v>0.7265057471264369</c:v>
                </c:pt>
                <c:pt idx="3">
                  <c:v>0.74213793103448289</c:v>
                </c:pt>
                <c:pt idx="4">
                  <c:v>0.76519540229885075</c:v>
                </c:pt>
                <c:pt idx="5">
                  <c:v>0.78668965517241396</c:v>
                </c:pt>
                <c:pt idx="6">
                  <c:v>0.8242068965517243</c:v>
                </c:pt>
                <c:pt idx="7">
                  <c:v>0.84962482758620705</c:v>
                </c:pt>
                <c:pt idx="8">
                  <c:v>0.89230068965517262</c:v>
                </c:pt>
                <c:pt idx="9">
                  <c:v>0.87928689655172432</c:v>
                </c:pt>
                <c:pt idx="10">
                  <c:v>0.88756804597701167</c:v>
                </c:pt>
                <c:pt idx="11">
                  <c:v>0.91168850574712657</c:v>
                </c:pt>
                <c:pt idx="12">
                  <c:v>0.92925908045977024</c:v>
                </c:pt>
                <c:pt idx="13">
                  <c:v>0.94545793103448283</c:v>
                </c:pt>
                <c:pt idx="14">
                  <c:v>0.96617839080459789</c:v>
                </c:pt>
                <c:pt idx="15">
                  <c:v>0.97859034482758633</c:v>
                </c:pt>
                <c:pt idx="16">
                  <c:v>0.99880275862068979</c:v>
                </c:pt>
                <c:pt idx="17">
                  <c:v>1.025025747126437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697768"/>
        <c:axId val="517698160"/>
      </c:lineChart>
      <c:catAx>
        <c:axId val="517697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98160"/>
        <c:crosses val="autoZero"/>
        <c:auto val="1"/>
        <c:lblAlgn val="ctr"/>
        <c:lblOffset val="100"/>
        <c:noMultiLvlLbl val="0"/>
      </c:catAx>
      <c:valAx>
        <c:axId val="51769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97768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>
                    <a:lumMod val="75000"/>
                    <a:lumOff val="25000"/>
                  </a:schemeClr>
                </a:solidFill>
              </a:rPr>
              <a:t>County Match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2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County Match Paid</c:v>
          </c:tx>
          <c:spPr>
            <a:ln w="31750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CA'!$E$14:$V$14</c:f>
              <c:numCache>
                <c:formatCode>_(* #,##0_);_(* \(#,##0\);_(* "-"_);_(@_)</c:formatCode>
                <c:ptCount val="18"/>
                <c:pt idx="0">
                  <c:v>194505</c:v>
                </c:pt>
                <c:pt idx="1">
                  <c:v>199933</c:v>
                </c:pt>
                <c:pt idx="2">
                  <c:v>203932</c:v>
                </c:pt>
                <c:pt idx="3">
                  <c:v>203932</c:v>
                </c:pt>
                <c:pt idx="4">
                  <c:v>203932</c:v>
                </c:pt>
                <c:pt idx="5">
                  <c:v>219522</c:v>
                </c:pt>
                <c:pt idx="6">
                  <c:v>224915</c:v>
                </c:pt>
                <c:pt idx="7">
                  <c:v>224915</c:v>
                </c:pt>
                <c:pt idx="8">
                  <c:v>251694</c:v>
                </c:pt>
                <c:pt idx="9">
                  <c:v>251694</c:v>
                </c:pt>
                <c:pt idx="10">
                  <c:v>251694</c:v>
                </c:pt>
                <c:pt idx="11">
                  <c:v>251694</c:v>
                </c:pt>
                <c:pt idx="12">
                  <c:v>251694</c:v>
                </c:pt>
                <c:pt idx="13">
                  <c:v>264320</c:v>
                </c:pt>
                <c:pt idx="14">
                  <c:v>302538</c:v>
                </c:pt>
                <c:pt idx="15">
                  <c:v>313539</c:v>
                </c:pt>
                <c:pt idx="16">
                  <c:v>372295</c:v>
                </c:pt>
                <c:pt idx="17">
                  <c:v>445027</c:v>
                </c:pt>
              </c:numCache>
            </c:numRef>
          </c:val>
          <c:smooth val="0"/>
        </c:ser>
        <c:ser>
          <c:idx val="1"/>
          <c:order val="1"/>
          <c:tx>
            <c:v>County Match Adjusted for California CPI</c:v>
          </c:tx>
          <c:spPr>
            <a:ln w="31750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'Data CA'!$E$5:$V$5</c:f>
              <c:strCache>
                <c:ptCount val="18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  <c:pt idx="17">
                  <c:v>2017-18</c:v>
                </c:pt>
              </c:strCache>
            </c:strRef>
          </c:cat>
          <c:val>
            <c:numRef>
              <c:f>'Data CA'!$E$45:$V$45</c:f>
              <c:numCache>
                <c:formatCode>_(* #,##0_);_(* \(#,##0\);_(* "-"_);_(@_)</c:formatCode>
                <c:ptCount val="18"/>
                <c:pt idx="0">
                  <c:v>194505</c:v>
                </c:pt>
                <c:pt idx="1">
                  <c:v>210504.17011494251</c:v>
                </c:pt>
                <c:pt idx="2">
                  <c:v>217879.07356321844</c:v>
                </c:pt>
                <c:pt idx="3">
                  <c:v>222567.1655172414</c:v>
                </c:pt>
                <c:pt idx="4">
                  <c:v>229482.10114942532</c:v>
                </c:pt>
                <c:pt idx="5">
                  <c:v>253964.24482758626</c:v>
                </c:pt>
                <c:pt idx="6">
                  <c:v>272612.49137931038</c:v>
                </c:pt>
                <c:pt idx="7">
                  <c:v>281019.6589655173</c:v>
                </c:pt>
                <c:pt idx="8">
                  <c:v>330274.60262068972</c:v>
                </c:pt>
                <c:pt idx="9">
                  <c:v>325457.70020689658</c:v>
                </c:pt>
                <c:pt idx="10">
                  <c:v>328522.87024137937</c:v>
                </c:pt>
                <c:pt idx="11">
                  <c:v>337450.77465517248</c:v>
                </c:pt>
                <c:pt idx="12">
                  <c:v>343954.31617241382</c:v>
                </c:pt>
                <c:pt idx="13">
                  <c:v>367505.0593103448</c:v>
                </c:pt>
                <c:pt idx="14">
                  <c:v>429861.29117241385</c:v>
                </c:pt>
                <c:pt idx="15">
                  <c:v>451215.05606896558</c:v>
                </c:pt>
                <c:pt idx="16">
                  <c:v>476729.83720601239</c:v>
                </c:pt>
                <c:pt idx="17">
                  <c:v>506849.03685159661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>
              <a:solidFill>
                <a:schemeClr val="dk1">
                  <a:lumMod val="35000"/>
                  <a:lumOff val="65000"/>
                </a:schemeClr>
              </a:solidFill>
            </a:ln>
            <a:effectLst/>
          </c:spPr>
        </c:hiLowLines>
        <c:smooth val="0"/>
        <c:axId val="517698944"/>
        <c:axId val="206497936"/>
      </c:lineChart>
      <c:catAx>
        <c:axId val="51769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97936"/>
        <c:crosses val="autoZero"/>
        <c:auto val="1"/>
        <c:lblAlgn val="ctr"/>
        <c:lblOffset val="100"/>
        <c:noMultiLvlLbl val="0"/>
      </c:catAx>
      <c:valAx>
        <c:axId val="206497936"/>
        <c:scaling>
          <c:orientation val="minMax"/>
          <c:max val="50000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&quot;$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9894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 rot="0" vert="horz"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>
                    <a:lumMod val="75000"/>
                    <a:lumOff val="25000"/>
                  </a:schemeClr>
                </a:solidFill>
              </a:rPr>
              <a:t>County Match</a:t>
            </a:r>
            <a:r>
              <a:rPr lang="en-US" sz="2000" b="1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Rate</a:t>
            </a:r>
            <a:endParaRPr lang="en-US" sz="2000" b="1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Rate Charged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Data!$E$5:$U$5</c:f>
              <c:strCache>
                <c:ptCount val="17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</c:strCache>
            </c:strRef>
          </c:cat>
          <c:val>
            <c:numRef>
              <c:f>Data!$E$27:$U$27</c:f>
              <c:numCache>
                <c:formatCode>_(* #,##0.00_);_(* \(#,##0.00\);_(* "-"??_);_(@_)</c:formatCode>
                <c:ptCount val="17"/>
                <c:pt idx="0">
                  <c:v>0.68</c:v>
                </c:pt>
                <c:pt idx="1">
                  <c:v>0.68</c:v>
                </c:pt>
                <c:pt idx="2">
                  <c:v>0.68</c:v>
                </c:pt>
                <c:pt idx="3">
                  <c:v>0.68</c:v>
                </c:pt>
                <c:pt idx="4">
                  <c:v>0.68</c:v>
                </c:pt>
                <c:pt idx="5">
                  <c:v>0.68</c:v>
                </c:pt>
                <c:pt idx="6">
                  <c:v>0.68</c:v>
                </c:pt>
                <c:pt idx="7">
                  <c:v>0.68</c:v>
                </c:pt>
                <c:pt idx="8">
                  <c:v>0.68</c:v>
                </c:pt>
                <c:pt idx="9">
                  <c:v>0.68</c:v>
                </c:pt>
                <c:pt idx="10">
                  <c:v>0.68</c:v>
                </c:pt>
                <c:pt idx="11">
                  <c:v>0.68</c:v>
                </c:pt>
                <c:pt idx="12">
                  <c:v>0.68</c:v>
                </c:pt>
                <c:pt idx="13">
                  <c:v>0.68</c:v>
                </c:pt>
                <c:pt idx="14">
                  <c:v>0.68</c:v>
                </c:pt>
                <c:pt idx="15">
                  <c:v>0.68</c:v>
                </c:pt>
                <c:pt idx="16">
                  <c:v>0.78</c:v>
                </c:pt>
              </c:numCache>
            </c:numRef>
          </c:val>
          <c:smooth val="0"/>
        </c:ser>
        <c:ser>
          <c:idx val="0"/>
          <c:order val="1"/>
          <c:tx>
            <c:v>Rate Adjusted for CPI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Data!$E$5:$U$5</c:f>
              <c:strCache>
                <c:ptCount val="17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</c:strCache>
            </c:strRef>
          </c:cat>
          <c:val>
            <c:numRef>
              <c:f>Data!$E$29:$U$29</c:f>
              <c:numCache>
                <c:formatCode>_(* #,##0.00_);_(* \(#,##0.00\);_(* "-"??_);_(@_)</c:formatCode>
                <c:ptCount val="17"/>
                <c:pt idx="0">
                  <c:v>0.68</c:v>
                </c:pt>
                <c:pt idx="1">
                  <c:v>0.7020881670533643</c:v>
                </c:pt>
                <c:pt idx="2">
                  <c:v>0.70958236658932716</c:v>
                </c:pt>
                <c:pt idx="3">
                  <c:v>0.72457076566125289</c:v>
                </c:pt>
                <c:pt idx="4">
                  <c:v>0.74823665893271463</c:v>
                </c:pt>
                <c:pt idx="5">
                  <c:v>0.76716937354988401</c:v>
                </c:pt>
                <c:pt idx="6">
                  <c:v>0.80030162412993044</c:v>
                </c:pt>
                <c:pt idx="7">
                  <c:v>0.82180603248259865</c:v>
                </c:pt>
                <c:pt idx="8">
                  <c:v>0.86307540603248256</c:v>
                </c:pt>
                <c:pt idx="9">
                  <c:v>0.85076125290023208</c:v>
                </c:pt>
                <c:pt idx="10">
                  <c:v>0.85972273781902553</c:v>
                </c:pt>
                <c:pt idx="11">
                  <c:v>0.89031879350348031</c:v>
                </c:pt>
                <c:pt idx="12">
                  <c:v>0.90513364269141539</c:v>
                </c:pt>
                <c:pt idx="13">
                  <c:v>0.92101345707656612</c:v>
                </c:pt>
                <c:pt idx="14">
                  <c:v>0.94009999999999994</c:v>
                </c:pt>
                <c:pt idx="15">
                  <c:v>0.94126357308584685</c:v>
                </c:pt>
                <c:pt idx="16">
                  <c:v>0.95072993039443154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98720"/>
        <c:axId val="206499112"/>
      </c:lineChart>
      <c:catAx>
        <c:axId val="20649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99112"/>
        <c:crosses val="autoZero"/>
        <c:auto val="1"/>
        <c:lblAlgn val="ctr"/>
        <c:lblOffset val="100"/>
        <c:noMultiLvlLbl val="0"/>
      </c:catAx>
      <c:valAx>
        <c:axId val="206499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98720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chemeClr val="tx1">
                    <a:lumMod val="75000"/>
                    <a:lumOff val="25000"/>
                  </a:schemeClr>
                </a:solidFill>
              </a:rPr>
              <a:t>County Match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2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County Match Paid</c:v>
          </c:tx>
          <c:spPr>
            <a:ln w="31750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Data!$E$5:$U$5</c:f>
              <c:strCache>
                <c:ptCount val="17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</c:strCache>
            </c:strRef>
          </c:cat>
          <c:val>
            <c:numRef>
              <c:f>Data!$E$14:$U$14</c:f>
              <c:numCache>
                <c:formatCode>_(* #,##0_);_(* \(#,##0\);_(* "-"_);_(@_)</c:formatCode>
                <c:ptCount val="17"/>
                <c:pt idx="0">
                  <c:v>194505</c:v>
                </c:pt>
                <c:pt idx="1">
                  <c:v>199933</c:v>
                </c:pt>
                <c:pt idx="2">
                  <c:v>203932</c:v>
                </c:pt>
                <c:pt idx="3">
                  <c:v>203932</c:v>
                </c:pt>
                <c:pt idx="4">
                  <c:v>203932</c:v>
                </c:pt>
                <c:pt idx="5">
                  <c:v>219522</c:v>
                </c:pt>
                <c:pt idx="6">
                  <c:v>224915</c:v>
                </c:pt>
                <c:pt idx="7">
                  <c:v>224915</c:v>
                </c:pt>
                <c:pt idx="8">
                  <c:v>251694</c:v>
                </c:pt>
                <c:pt idx="9">
                  <c:v>251694</c:v>
                </c:pt>
                <c:pt idx="10">
                  <c:v>251694</c:v>
                </c:pt>
                <c:pt idx="11">
                  <c:v>251694</c:v>
                </c:pt>
                <c:pt idx="12">
                  <c:v>251694</c:v>
                </c:pt>
                <c:pt idx="13">
                  <c:v>264320</c:v>
                </c:pt>
                <c:pt idx="14">
                  <c:v>302538</c:v>
                </c:pt>
                <c:pt idx="15">
                  <c:v>313539</c:v>
                </c:pt>
                <c:pt idx="16">
                  <c:v>372295</c:v>
                </c:pt>
              </c:numCache>
            </c:numRef>
          </c:val>
          <c:smooth val="0"/>
        </c:ser>
        <c:ser>
          <c:idx val="1"/>
          <c:order val="1"/>
          <c:tx>
            <c:v>County Match Adjusted for CPI</c:v>
          </c:tx>
          <c:spPr>
            <a:ln w="31750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Data!$E$5:$U$5</c:f>
              <c:strCache>
                <c:ptCount val="17"/>
                <c:pt idx="0">
                  <c:v>2000-01</c:v>
                </c:pt>
                <c:pt idx="1">
                  <c:v>2001-02</c:v>
                </c:pt>
                <c:pt idx="2">
                  <c:v>2002-03</c:v>
                </c:pt>
                <c:pt idx="3">
                  <c:v>2003-04</c:v>
                </c:pt>
                <c:pt idx="4">
                  <c:v>2004-05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2011-12</c:v>
                </c:pt>
                <c:pt idx="12">
                  <c:v>2012-13</c:v>
                </c:pt>
                <c:pt idx="13">
                  <c:v>2013-14</c:v>
                </c:pt>
                <c:pt idx="14">
                  <c:v>2014-15</c:v>
                </c:pt>
                <c:pt idx="15">
                  <c:v>2015-16</c:v>
                </c:pt>
                <c:pt idx="16">
                  <c:v>2016-17</c:v>
                </c:pt>
              </c:strCache>
            </c:strRef>
          </c:cat>
          <c:val>
            <c:numRef>
              <c:f>Data!$E$45:$U$45</c:f>
              <c:numCache>
                <c:formatCode>_(* #,##0_);_(* \(#,##0\);_(* "-"_);_(@_)</c:formatCode>
                <c:ptCount val="17"/>
                <c:pt idx="0">
                  <c:v>194505</c:v>
                </c:pt>
                <c:pt idx="1">
                  <c:v>206427.34338747099</c:v>
                </c:pt>
                <c:pt idx="2">
                  <c:v>212803.75174013921</c:v>
                </c:pt>
                <c:pt idx="3">
                  <c:v>217298.77262180971</c:v>
                </c:pt>
                <c:pt idx="4">
                  <c:v>224396.17401392109</c:v>
                </c:pt>
                <c:pt idx="5">
                  <c:v>247662.58120649654</c:v>
                </c:pt>
                <c:pt idx="6">
                  <c:v>264705.64675174013</c:v>
                </c:pt>
                <c:pt idx="7">
                  <c:v>271818.38793503481</c:v>
                </c:pt>
                <c:pt idx="8">
                  <c:v>319457.20771461719</c:v>
                </c:pt>
                <c:pt idx="9">
                  <c:v>314899.26880510437</c:v>
                </c:pt>
                <c:pt idx="10">
                  <c:v>318216.25701856147</c:v>
                </c:pt>
                <c:pt idx="11">
                  <c:v>329541.02707656618</c:v>
                </c:pt>
                <c:pt idx="12">
                  <c:v>335024.5692111369</c:v>
                </c:pt>
                <c:pt idx="13">
                  <c:v>358003.3484918793</c:v>
                </c:pt>
                <c:pt idx="14">
                  <c:v>418258.78499999986</c:v>
                </c:pt>
                <c:pt idx="15">
                  <c:v>434004.17564965185</c:v>
                </c:pt>
                <c:pt idx="16">
                  <c:v>453784.61466178834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>
              <a:solidFill>
                <a:schemeClr val="dk1">
                  <a:lumMod val="35000"/>
                  <a:lumOff val="65000"/>
                </a:schemeClr>
              </a:solidFill>
            </a:ln>
            <a:effectLst/>
          </c:spPr>
        </c:hiLowLines>
        <c:smooth val="0"/>
        <c:axId val="517943168"/>
        <c:axId val="517943560"/>
      </c:lineChart>
      <c:catAx>
        <c:axId val="51794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943560"/>
        <c:crosses val="autoZero"/>
        <c:auto val="1"/>
        <c:lblAlgn val="ctr"/>
        <c:lblOffset val="100"/>
        <c:noMultiLvlLbl val="0"/>
      </c:catAx>
      <c:valAx>
        <c:axId val="517943560"/>
        <c:scaling>
          <c:orientation val="minMax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&quot;$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94316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 rot="0" vert="horz"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-0.499984740745262"/>
  </sheetPr>
  <sheetViews>
    <sheetView zoomScale="119" workbookViewId="0" zoomToFit="1"/>
  </sheetViews>
  <sheetProtection content="1" objects="1"/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-0.499984740745262"/>
  </sheetPr>
  <sheetViews>
    <sheetView zoomScale="119" workbookViewId="0" zoomToFit="1"/>
  </sheetViews>
  <sheetProtection content="1" objects="1"/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-0.499984740745262"/>
  </sheetPr>
  <sheetViews>
    <sheetView zoomScale="73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-0.499984740745262"/>
  </sheetPr>
  <sheetViews>
    <sheetView zoomScale="73" workbookViewId="0" zoomToFit="1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92D050"/>
  </sheetPr>
  <sheetViews>
    <sheetView zoomScale="73" workbookViewId="0" zoomToFit="1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92D050"/>
  </sheetPr>
  <sheetViews>
    <sheetView zoomScale="113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225758" cy="5971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198120</xdr:colOff>
      <xdr:row>6</xdr:row>
      <xdr:rowOff>2540</xdr:rowOff>
    </xdr:from>
    <xdr:to>
      <xdr:col>5</xdr:col>
      <xdr:colOff>1813</xdr:colOff>
      <xdr:row>13</xdr:row>
      <xdr:rowOff>205098</xdr:rowOff>
    </xdr:to>
    <xdr:sp macro="" textlink="">
      <xdr:nvSpPr>
        <xdr:cNvPr id="2" name="TextBox 1"/>
        <xdr:cNvSpPr txBox="1"/>
      </xdr:nvSpPr>
      <xdr:spPr>
        <a:xfrm>
          <a:off x="5255895" y="1307465"/>
          <a:ext cx="5594893" cy="2498083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2400"/>
            <a:t>Last year CDA used the 2010</a:t>
          </a:r>
          <a:r>
            <a:rPr lang="en-US" sz="2400" baseline="0"/>
            <a:t> census 60+ population, but is now using the Dept. of Finance Calendar Year 2014 population projections, resulting in a total population increase of 56,204 for all 7 counties, or over 11%.</a:t>
          </a:r>
          <a:endParaRPr lang="en-US" sz="24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0.07437</cdr:y>
    </cdr:from>
    <cdr:to>
      <cdr:x>0.0686</cdr:x>
      <cdr:y>0.13679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67896"/>
          <a:ext cx="594370" cy="392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</a:rPr>
            <a:t>Rate per Senior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225758" cy="5971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0.07437</cdr:y>
    </cdr:from>
    <cdr:to>
      <cdr:x>0.0686</cdr:x>
      <cdr:y>0.13679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67896"/>
          <a:ext cx="594370" cy="392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</a:rPr>
            <a:t>Rate per Senior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0.07437</cdr:y>
    </cdr:from>
    <cdr:to>
      <cdr:x>0.0686</cdr:x>
      <cdr:y>0.13679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67896"/>
          <a:ext cx="594370" cy="392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900">
              <a:solidFill>
                <a:schemeClr val="tx1">
                  <a:lumMod val="75000"/>
                  <a:lumOff val="25000"/>
                </a:schemeClr>
              </a:solidFill>
            </a:rPr>
            <a:t>Rate per Senior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2524" cy="62888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zoomScale="75" zoomScaleNormal="75" workbookViewId="0">
      <selection activeCell="E24" sqref="E24"/>
    </sheetView>
  </sheetViews>
  <sheetFormatPr defaultColWidth="7.75" defaultRowHeight="12.75" x14ac:dyDescent="0.2"/>
  <cols>
    <col min="1" max="1" width="16.375" style="6" customWidth="1"/>
    <col min="2" max="2" width="23.875" style="6" customWidth="1"/>
    <col min="3" max="3" width="25.75" style="6" customWidth="1"/>
    <col min="4" max="4" width="1.5" style="76" customWidth="1"/>
    <col min="5" max="5" width="24.125" style="6" customWidth="1"/>
    <col min="6" max="6" width="22.875" style="6" customWidth="1"/>
    <col min="7" max="8" width="7.75" style="6"/>
    <col min="9" max="9" width="13.625" style="6" customWidth="1"/>
    <col min="10" max="16384" width="7.75" style="6"/>
  </cols>
  <sheetData>
    <row r="1" spans="1:6" ht="21.75" customHeight="1" x14ac:dyDescent="0.2">
      <c r="A1" s="292" t="s">
        <v>27</v>
      </c>
      <c r="B1" s="292"/>
      <c r="C1" s="292"/>
      <c r="D1" s="292"/>
      <c r="E1" s="292"/>
      <c r="F1" s="292"/>
    </row>
    <row r="2" spans="1:6" ht="21.75" customHeight="1" x14ac:dyDescent="0.2">
      <c r="A2" s="292" t="s">
        <v>49</v>
      </c>
      <c r="B2" s="292"/>
      <c r="C2" s="292"/>
      <c r="D2" s="292"/>
      <c r="E2" s="292"/>
      <c r="F2" s="292"/>
    </row>
    <row r="3" spans="1:6" ht="14.25" customHeight="1" x14ac:dyDescent="0.2">
      <c r="A3" s="5"/>
      <c r="B3" s="5"/>
      <c r="C3" s="5"/>
      <c r="D3" s="67"/>
      <c r="E3" s="5"/>
      <c r="F3" s="5"/>
    </row>
    <row r="4" spans="1:6" ht="7.5" customHeight="1" x14ac:dyDescent="0.2">
      <c r="A4" s="60"/>
      <c r="B4" s="60"/>
      <c r="C4" s="60"/>
      <c r="D4" s="68"/>
      <c r="E4" s="60"/>
      <c r="F4" s="60"/>
    </row>
    <row r="5" spans="1:6" ht="22.5" customHeight="1" x14ac:dyDescent="0.2">
      <c r="A5" s="293" t="s">
        <v>61</v>
      </c>
      <c r="B5" s="294"/>
      <c r="C5" s="295"/>
      <c r="D5" s="68"/>
      <c r="E5" s="293" t="s">
        <v>50</v>
      </c>
      <c r="F5" s="295"/>
    </row>
    <row r="6" spans="1:6" ht="72" x14ac:dyDescent="0.2">
      <c r="A6" s="85" t="s">
        <v>0</v>
      </c>
      <c r="B6" s="86" t="s">
        <v>32</v>
      </c>
      <c r="C6" s="86" t="s">
        <v>51</v>
      </c>
      <c r="D6" s="69"/>
      <c r="E6" s="86" t="s">
        <v>52</v>
      </c>
      <c r="F6" s="86" t="s">
        <v>53</v>
      </c>
    </row>
    <row r="7" spans="1:6" ht="18" x14ac:dyDescent="0.2">
      <c r="A7" s="13" t="s">
        <v>1</v>
      </c>
      <c r="B7" s="14">
        <v>32316</v>
      </c>
      <c r="C7" s="15">
        <f t="shared" ref="C7:C12" si="0">+B7*0.68</f>
        <v>21974.880000000001</v>
      </c>
      <c r="D7" s="70"/>
      <c r="E7" s="15">
        <v>704778</v>
      </c>
      <c r="F7" s="71">
        <f>E7/C7</f>
        <v>32.071984010834186</v>
      </c>
    </row>
    <row r="8" spans="1:6" ht="18" x14ac:dyDescent="0.2">
      <c r="A8" s="13" t="s">
        <v>2</v>
      </c>
      <c r="B8" s="14">
        <v>86493</v>
      </c>
      <c r="C8" s="14">
        <f>+B8*0.68</f>
        <v>58815.240000000005</v>
      </c>
      <c r="D8" s="72"/>
      <c r="E8" s="14">
        <v>1522164</v>
      </c>
      <c r="F8" s="73">
        <f>E8/C8</f>
        <v>25.880435070910192</v>
      </c>
    </row>
    <row r="9" spans="1:6" ht="18" x14ac:dyDescent="0.2">
      <c r="A9" s="13" t="s">
        <v>3</v>
      </c>
      <c r="B9" s="14">
        <v>273208</v>
      </c>
      <c r="C9" s="14">
        <f t="shared" si="0"/>
        <v>185781.44</v>
      </c>
      <c r="D9" s="72"/>
      <c r="E9" s="14">
        <v>5345435</v>
      </c>
      <c r="F9" s="73">
        <f t="shared" ref="F9:F14" si="1">E9/C9</f>
        <v>28.772707327491919</v>
      </c>
    </row>
    <row r="10" spans="1:6" ht="18" x14ac:dyDescent="0.2">
      <c r="A10" s="13" t="s">
        <v>4</v>
      </c>
      <c r="B10" s="14">
        <v>1157</v>
      </c>
      <c r="C10" s="14">
        <f t="shared" si="0"/>
        <v>786.7600000000001</v>
      </c>
      <c r="D10" s="72"/>
      <c r="E10" s="14">
        <v>102331</v>
      </c>
      <c r="F10" s="73">
        <f t="shared" si="1"/>
        <v>130.0663480603996</v>
      </c>
    </row>
    <row r="11" spans="1:6" ht="18" x14ac:dyDescent="0.2">
      <c r="A11" s="13" t="s">
        <v>5</v>
      </c>
      <c r="B11" s="14">
        <v>19279</v>
      </c>
      <c r="C11" s="14">
        <f>+B11*0.68</f>
        <v>13109.720000000001</v>
      </c>
      <c r="D11" s="72"/>
      <c r="E11" s="14">
        <v>356403</v>
      </c>
      <c r="F11" s="73">
        <f t="shared" si="1"/>
        <v>27.186164159112472</v>
      </c>
    </row>
    <row r="12" spans="1:6" ht="18" x14ac:dyDescent="0.2">
      <c r="A12" s="13" t="s">
        <v>6</v>
      </c>
      <c r="B12" s="14">
        <v>35483</v>
      </c>
      <c r="C12" s="14">
        <f t="shared" si="0"/>
        <v>24128.440000000002</v>
      </c>
      <c r="D12" s="72"/>
      <c r="E12" s="14">
        <v>704088</v>
      </c>
      <c r="F12" s="73">
        <f t="shared" si="1"/>
        <v>29.180833903891006</v>
      </c>
    </row>
    <row r="13" spans="1:6" ht="18" x14ac:dyDescent="0.2">
      <c r="A13" s="13" t="s">
        <v>7</v>
      </c>
      <c r="B13" s="14">
        <v>13151</v>
      </c>
      <c r="C13" s="14">
        <f>+B13*0.68</f>
        <v>8942.68</v>
      </c>
      <c r="D13" s="72"/>
      <c r="E13" s="14">
        <v>281157</v>
      </c>
      <c r="F13" s="73">
        <f t="shared" si="1"/>
        <v>31.439903921419528</v>
      </c>
    </row>
    <row r="14" spans="1:6" ht="18.75" thickBot="1" x14ac:dyDescent="0.25">
      <c r="A14" s="18" t="s">
        <v>30</v>
      </c>
      <c r="B14" s="19">
        <f>SUM(B7:B13)</f>
        <v>461087</v>
      </c>
      <c r="C14" s="20">
        <f>SUM(C7:C13)</f>
        <v>313539.16000000003</v>
      </c>
      <c r="D14" s="74"/>
      <c r="E14" s="20">
        <f t="shared" ref="E14" si="2">SUM(E7:E13)</f>
        <v>9016356</v>
      </c>
      <c r="F14" s="75">
        <f t="shared" si="1"/>
        <v>28.756714153345307</v>
      </c>
    </row>
    <row r="15" spans="1:6" ht="14.25" customHeight="1" thickTop="1" x14ac:dyDescent="0.2">
      <c r="B15" s="22"/>
      <c r="C15" s="23"/>
      <c r="D15" s="23"/>
      <c r="E15" s="21"/>
      <c r="F15" s="21"/>
    </row>
    <row r="16" spans="1:6" ht="17.25" customHeight="1" x14ac:dyDescent="0.2">
      <c r="B16" s="24"/>
    </row>
    <row r="17" spans="1:9" ht="22.5" customHeight="1" x14ac:dyDescent="0.2">
      <c r="A17" s="296" t="s">
        <v>31</v>
      </c>
      <c r="B17" s="297"/>
      <c r="C17" s="298"/>
      <c r="D17" s="77"/>
      <c r="E17" s="296" t="s">
        <v>54</v>
      </c>
      <c r="F17" s="298"/>
    </row>
    <row r="18" spans="1:9" ht="72" customHeight="1" x14ac:dyDescent="0.2">
      <c r="A18" s="85" t="s">
        <v>0</v>
      </c>
      <c r="B18" s="86" t="s">
        <v>55</v>
      </c>
      <c r="C18" s="86" t="s">
        <v>56</v>
      </c>
      <c r="D18" s="69"/>
      <c r="E18" s="86" t="s">
        <v>57</v>
      </c>
      <c r="F18" s="86" t="s">
        <v>58</v>
      </c>
    </row>
    <row r="19" spans="1:9" ht="24" customHeight="1" x14ac:dyDescent="0.2">
      <c r="A19" s="13" t="s">
        <v>1</v>
      </c>
      <c r="B19" s="14">
        <v>33184</v>
      </c>
      <c r="C19" s="26">
        <f t="shared" ref="C19:C25" si="3">+B19-B7</f>
        <v>868</v>
      </c>
      <c r="D19" s="78"/>
      <c r="E19" s="27">
        <f t="shared" ref="E19:E25" si="4">+C19*$E$33</f>
        <v>677.04000000000008</v>
      </c>
      <c r="F19" s="15">
        <f t="shared" ref="F19:F25" si="5">+B19*$F$33</f>
        <v>25883.52</v>
      </c>
    </row>
    <row r="20" spans="1:9" ht="18" x14ac:dyDescent="0.2">
      <c r="A20" s="13" t="s">
        <v>2</v>
      </c>
      <c r="B20" s="14">
        <v>89267</v>
      </c>
      <c r="C20" s="26">
        <f t="shared" si="3"/>
        <v>2774</v>
      </c>
      <c r="D20" s="78"/>
      <c r="E20" s="26">
        <f t="shared" si="4"/>
        <v>2163.7200000000003</v>
      </c>
      <c r="F20" s="79">
        <f t="shared" si="5"/>
        <v>69628.260000000009</v>
      </c>
    </row>
    <row r="21" spans="1:9" ht="17.25" customHeight="1" x14ac:dyDescent="0.2">
      <c r="A21" s="13" t="s">
        <v>3</v>
      </c>
      <c r="B21" s="14">
        <v>282971</v>
      </c>
      <c r="C21" s="26">
        <f t="shared" si="3"/>
        <v>9763</v>
      </c>
      <c r="D21" s="78"/>
      <c r="E21" s="26">
        <f t="shared" si="4"/>
        <v>7615.14</v>
      </c>
      <c r="F21" s="79">
        <f t="shared" si="5"/>
        <v>220717.38</v>
      </c>
    </row>
    <row r="22" spans="1:9" ht="18" x14ac:dyDescent="0.2">
      <c r="A22" s="13" t="s">
        <v>4</v>
      </c>
      <c r="B22" s="14">
        <v>1183</v>
      </c>
      <c r="C22" s="26">
        <f t="shared" si="3"/>
        <v>26</v>
      </c>
      <c r="D22" s="78"/>
      <c r="E22" s="26">
        <f t="shared" si="4"/>
        <v>20.28</v>
      </c>
      <c r="F22" s="79">
        <f t="shared" si="5"/>
        <v>922.74</v>
      </c>
    </row>
    <row r="23" spans="1:9" ht="18" x14ac:dyDescent="0.2">
      <c r="A23" s="13" t="s">
        <v>5</v>
      </c>
      <c r="B23" s="14">
        <v>19960</v>
      </c>
      <c r="C23" s="26">
        <f t="shared" si="3"/>
        <v>681</v>
      </c>
      <c r="D23" s="78"/>
      <c r="E23" s="26">
        <f t="shared" si="4"/>
        <v>531.18000000000006</v>
      </c>
      <c r="F23" s="79">
        <f t="shared" si="5"/>
        <v>15568.800000000001</v>
      </c>
    </row>
    <row r="24" spans="1:9" ht="18" x14ac:dyDescent="0.2">
      <c r="A24" s="13" t="s">
        <v>6</v>
      </c>
      <c r="B24" s="14">
        <v>36901</v>
      </c>
      <c r="C24" s="26">
        <f t="shared" si="3"/>
        <v>1418</v>
      </c>
      <c r="D24" s="78"/>
      <c r="E24" s="26">
        <f t="shared" si="4"/>
        <v>1106.04</v>
      </c>
      <c r="F24" s="79">
        <f t="shared" si="5"/>
        <v>28782.780000000002</v>
      </c>
    </row>
    <row r="25" spans="1:9" ht="18" x14ac:dyDescent="0.2">
      <c r="A25" s="13" t="s">
        <v>7</v>
      </c>
      <c r="B25" s="14">
        <v>13834</v>
      </c>
      <c r="C25" s="26">
        <f t="shared" si="3"/>
        <v>683</v>
      </c>
      <c r="D25" s="78"/>
      <c r="E25" s="26">
        <f t="shared" si="4"/>
        <v>532.74</v>
      </c>
      <c r="F25" s="79">
        <f t="shared" si="5"/>
        <v>10790.52</v>
      </c>
    </row>
    <row r="26" spans="1:9" s="33" customFormat="1" ht="18.75" thickBot="1" x14ac:dyDescent="0.25">
      <c r="A26" s="18" t="s">
        <v>30</v>
      </c>
      <c r="B26" s="19">
        <f>SUM(B19:B25)</f>
        <v>477300</v>
      </c>
      <c r="C26" s="30">
        <f>SUM(C19:C25)</f>
        <v>16213</v>
      </c>
      <c r="D26" s="80"/>
      <c r="E26" s="31">
        <f>SUM(E19:E25)</f>
        <v>12646.140000000001</v>
      </c>
      <c r="F26" s="20">
        <f>SUM(F19:F25)</f>
        <v>372294.00000000006</v>
      </c>
      <c r="I26" s="6"/>
    </row>
    <row r="27" spans="1:9" s="33" customFormat="1" ht="18.75" thickTop="1" x14ac:dyDescent="0.2">
      <c r="A27" s="81"/>
      <c r="B27" s="23"/>
      <c r="C27" s="82"/>
      <c r="D27" s="82"/>
      <c r="E27" s="32"/>
      <c r="F27" s="21"/>
    </row>
    <row r="28" spans="1:9" s="33" customFormat="1" ht="18" x14ac:dyDescent="0.2">
      <c r="A28" s="81"/>
      <c r="B28" s="23"/>
      <c r="C28" s="82"/>
      <c r="D28" s="82"/>
      <c r="E28" s="83" t="s">
        <v>59</v>
      </c>
      <c r="F28" s="21">
        <v>359539</v>
      </c>
    </row>
    <row r="29" spans="1:9" s="33" customFormat="1" ht="18.75" thickBot="1" x14ac:dyDescent="0.25">
      <c r="A29" s="81"/>
      <c r="B29" s="23"/>
      <c r="C29" s="82"/>
      <c r="D29" s="82"/>
      <c r="E29" s="83" t="s">
        <v>60</v>
      </c>
      <c r="F29" s="84">
        <f>F26-F28</f>
        <v>12755.000000000058</v>
      </c>
    </row>
    <row r="30" spans="1:9" s="33" customFormat="1" ht="18.75" thickTop="1" x14ac:dyDescent="0.2">
      <c r="A30" s="81"/>
      <c r="B30" s="23"/>
      <c r="C30" s="82"/>
      <c r="D30" s="82"/>
      <c r="E30" s="32"/>
      <c r="F30" s="21"/>
    </row>
    <row r="33" spans="2:6" s="87" customFormat="1" ht="14.25" x14ac:dyDescent="0.2">
      <c r="B33" s="88">
        <f>B26-B14-C26</f>
        <v>0</v>
      </c>
      <c r="C33" s="89">
        <f>C26/B14</f>
        <v>3.5162561512252569E-2</v>
      </c>
      <c r="D33" s="90"/>
      <c r="E33" s="87">
        <v>0.78</v>
      </c>
      <c r="F33" s="87">
        <f>E33</f>
        <v>0.78</v>
      </c>
    </row>
  </sheetData>
  <mergeCells count="6">
    <mergeCell ref="A1:F1"/>
    <mergeCell ref="A2:F2"/>
    <mergeCell ref="A5:C5"/>
    <mergeCell ref="E5:F5"/>
    <mergeCell ref="A17:C17"/>
    <mergeCell ref="E17:F17"/>
  </mergeCells>
  <printOptions horizontalCentered="1" verticalCentered="1"/>
  <pageMargins left="0.7" right="0.7" top="0.75" bottom="0.75" header="0.3" footer="0.3"/>
  <pageSetup scale="82" orientation="landscape" horizontalDpi="300" verticalDpi="300" r:id="rId1"/>
  <headerFooter alignWithMargins="0">
    <oddHeader>&amp;L&amp;"Arial,Bold"&amp;14Attachment 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I33"/>
  <sheetViews>
    <sheetView zoomScale="75" zoomScaleNormal="75" workbookViewId="0">
      <selection activeCell="I18" sqref="I18"/>
    </sheetView>
  </sheetViews>
  <sheetFormatPr defaultColWidth="7.75" defaultRowHeight="12.75" x14ac:dyDescent="0.2"/>
  <cols>
    <col min="1" max="1" width="16.375" style="6" customWidth="1"/>
    <col min="2" max="2" width="23.875" style="6" customWidth="1"/>
    <col min="3" max="3" width="25.75" style="6" customWidth="1"/>
    <col min="4" max="4" width="1.5" style="76" customWidth="1"/>
    <col min="5" max="5" width="24.125" style="6" customWidth="1"/>
    <col min="6" max="6" width="22.875" style="6" customWidth="1"/>
    <col min="7" max="8" width="7.75" style="6"/>
    <col min="9" max="9" width="13.625" style="6" customWidth="1"/>
    <col min="10" max="16384" width="7.75" style="6"/>
  </cols>
  <sheetData>
    <row r="1" spans="1:6" ht="21.75" customHeight="1" x14ac:dyDescent="0.2">
      <c r="A1" s="292" t="s">
        <v>27</v>
      </c>
      <c r="B1" s="292"/>
      <c r="C1" s="292"/>
      <c r="D1" s="292"/>
      <c r="E1" s="292"/>
      <c r="F1" s="292"/>
    </row>
    <row r="2" spans="1:6" ht="21.75" customHeight="1" x14ac:dyDescent="0.2">
      <c r="A2" s="292" t="s">
        <v>78</v>
      </c>
      <c r="B2" s="292"/>
      <c r="C2" s="292"/>
      <c r="D2" s="292"/>
      <c r="E2" s="292"/>
      <c r="F2" s="292"/>
    </row>
    <row r="3" spans="1:6" ht="14.25" customHeight="1" x14ac:dyDescent="0.2">
      <c r="A3" s="5"/>
      <c r="B3" s="5"/>
      <c r="C3" s="5"/>
      <c r="D3" s="67"/>
      <c r="E3" s="5"/>
      <c r="F3" s="5"/>
    </row>
    <row r="4" spans="1:6" ht="7.5" customHeight="1" x14ac:dyDescent="0.2">
      <c r="A4" s="91"/>
      <c r="B4" s="91"/>
      <c r="C4" s="91"/>
      <c r="D4" s="68"/>
      <c r="E4" s="91"/>
      <c r="F4" s="91"/>
    </row>
    <row r="5" spans="1:6" ht="22.5" customHeight="1" x14ac:dyDescent="0.2">
      <c r="A5" s="293" t="s">
        <v>75</v>
      </c>
      <c r="B5" s="294"/>
      <c r="C5" s="295"/>
      <c r="D5" s="68"/>
      <c r="E5" s="293" t="s">
        <v>76</v>
      </c>
      <c r="F5" s="295"/>
    </row>
    <row r="6" spans="1:6" ht="54" x14ac:dyDescent="0.2">
      <c r="A6" s="85" t="s">
        <v>0</v>
      </c>
      <c r="B6" s="86" t="s">
        <v>55</v>
      </c>
      <c r="C6" s="86" t="s">
        <v>100</v>
      </c>
      <c r="D6" s="69"/>
      <c r="E6" s="86" t="s">
        <v>52</v>
      </c>
      <c r="F6" s="86" t="s">
        <v>53</v>
      </c>
    </row>
    <row r="7" spans="1:6" ht="18" x14ac:dyDescent="0.2">
      <c r="A7" s="13" t="s">
        <v>1</v>
      </c>
      <c r="B7" s="14">
        <v>33184</v>
      </c>
      <c r="C7" s="15">
        <f>+B7*0.78</f>
        <v>25883.52</v>
      </c>
      <c r="D7" s="70"/>
      <c r="E7" s="187">
        <v>704778</v>
      </c>
      <c r="F7" s="71">
        <f>E7/C7</f>
        <v>27.228831318151471</v>
      </c>
    </row>
    <row r="8" spans="1:6" ht="18" x14ac:dyDescent="0.2">
      <c r="A8" s="13" t="s">
        <v>2</v>
      </c>
      <c r="B8" s="14">
        <v>89267</v>
      </c>
      <c r="C8" s="14">
        <f>+B8*0.78</f>
        <v>69628.260000000009</v>
      </c>
      <c r="D8" s="72"/>
      <c r="E8" s="188">
        <v>1522164</v>
      </c>
      <c r="F8" s="73">
        <f>E8/C8</f>
        <v>21.86129597378995</v>
      </c>
    </row>
    <row r="9" spans="1:6" ht="18" x14ac:dyDescent="0.2">
      <c r="A9" s="13" t="s">
        <v>3</v>
      </c>
      <c r="B9" s="14">
        <v>282971</v>
      </c>
      <c r="C9" s="14">
        <f t="shared" ref="C9:C13" si="0">+B9*0.78</f>
        <v>220717.38</v>
      </c>
      <c r="D9" s="72"/>
      <c r="E9" s="188">
        <v>5345435</v>
      </c>
      <c r="F9" s="73">
        <f t="shared" ref="F9:F14" si="1">E9/C9</f>
        <v>24.218459824051916</v>
      </c>
    </row>
    <row r="10" spans="1:6" ht="18" x14ac:dyDescent="0.2">
      <c r="A10" s="13" t="s">
        <v>4</v>
      </c>
      <c r="B10" s="14">
        <v>1183</v>
      </c>
      <c r="C10" s="14">
        <f t="shared" si="0"/>
        <v>922.74</v>
      </c>
      <c r="D10" s="72"/>
      <c r="E10" s="188">
        <v>102331</v>
      </c>
      <c r="F10" s="73">
        <f t="shared" si="1"/>
        <v>110.89906149077747</v>
      </c>
    </row>
    <row r="11" spans="1:6" ht="18" x14ac:dyDescent="0.2">
      <c r="A11" s="13" t="s">
        <v>5</v>
      </c>
      <c r="B11" s="14">
        <v>19960</v>
      </c>
      <c r="C11" s="14">
        <f t="shared" si="0"/>
        <v>15568.800000000001</v>
      </c>
      <c r="D11" s="72"/>
      <c r="E11" s="188">
        <v>356403</v>
      </c>
      <c r="F11" s="73">
        <f t="shared" si="1"/>
        <v>22.892130414675503</v>
      </c>
    </row>
    <row r="12" spans="1:6" ht="18" x14ac:dyDescent="0.2">
      <c r="A12" s="13" t="s">
        <v>6</v>
      </c>
      <c r="B12" s="14">
        <v>36901</v>
      </c>
      <c r="C12" s="14">
        <f t="shared" si="0"/>
        <v>28782.780000000002</v>
      </c>
      <c r="D12" s="72"/>
      <c r="E12" s="188">
        <v>704088</v>
      </c>
      <c r="F12" s="73">
        <f t="shared" si="1"/>
        <v>24.462126313024662</v>
      </c>
    </row>
    <row r="13" spans="1:6" ht="18" x14ac:dyDescent="0.2">
      <c r="A13" s="13" t="s">
        <v>7</v>
      </c>
      <c r="B13" s="14">
        <v>13834</v>
      </c>
      <c r="C13" s="14">
        <f t="shared" si="0"/>
        <v>10790.52</v>
      </c>
      <c r="D13" s="72"/>
      <c r="E13" s="188">
        <v>281157</v>
      </c>
      <c r="F13" s="73">
        <f t="shared" si="1"/>
        <v>26.055926869140688</v>
      </c>
    </row>
    <row r="14" spans="1:6" ht="18.75" thickBot="1" x14ac:dyDescent="0.25">
      <c r="A14" s="18" t="s">
        <v>30</v>
      </c>
      <c r="B14" s="19">
        <f>SUM(B7:B13)</f>
        <v>477300</v>
      </c>
      <c r="C14" s="20">
        <f>SUM(C7:C13)</f>
        <v>372294.00000000006</v>
      </c>
      <c r="D14" s="74"/>
      <c r="E14" s="20">
        <f t="shared" ref="E14" si="2">SUM(E7:E13)</f>
        <v>9016356</v>
      </c>
      <c r="F14" s="75">
        <f t="shared" si="1"/>
        <v>24.218375799771145</v>
      </c>
    </row>
    <row r="15" spans="1:6" ht="14.25" customHeight="1" thickTop="1" x14ac:dyDescent="0.2">
      <c r="B15" s="22"/>
      <c r="C15" s="23"/>
      <c r="D15" s="23"/>
      <c r="E15" s="21"/>
      <c r="F15" s="21"/>
    </row>
    <row r="16" spans="1:6" ht="17.25" customHeight="1" x14ac:dyDescent="0.2">
      <c r="B16" s="24"/>
    </row>
    <row r="17" spans="1:9" ht="22.5" customHeight="1" x14ac:dyDescent="0.2">
      <c r="A17" s="296" t="s">
        <v>81</v>
      </c>
      <c r="B17" s="297"/>
      <c r="C17" s="298"/>
      <c r="D17" s="77"/>
      <c r="E17" s="296" t="s">
        <v>77</v>
      </c>
      <c r="F17" s="298"/>
    </row>
    <row r="18" spans="1:9" ht="72" customHeight="1" x14ac:dyDescent="0.2">
      <c r="A18" s="85" t="s">
        <v>0</v>
      </c>
      <c r="B18" s="86" t="s">
        <v>79</v>
      </c>
      <c r="C18" s="86" t="s">
        <v>80</v>
      </c>
      <c r="D18" s="69"/>
      <c r="E18" s="86" t="s">
        <v>101</v>
      </c>
      <c r="F18" s="86" t="s">
        <v>102</v>
      </c>
    </row>
    <row r="19" spans="1:9" ht="18" x14ac:dyDescent="0.2">
      <c r="A19" s="13" t="s">
        <v>1</v>
      </c>
      <c r="B19" s="188">
        <v>33184</v>
      </c>
      <c r="C19" s="26">
        <f t="shared" ref="C19:C25" si="3">+B19-B7</f>
        <v>0</v>
      </c>
      <c r="D19" s="78"/>
      <c r="E19" s="27">
        <f>+C19*$F$33</f>
        <v>0</v>
      </c>
      <c r="F19" s="15">
        <f t="shared" ref="F19:F25" si="4">+B19*$F$33</f>
        <v>29865.600000000002</v>
      </c>
    </row>
    <row r="20" spans="1:9" ht="18" x14ac:dyDescent="0.2">
      <c r="A20" s="13" t="s">
        <v>2</v>
      </c>
      <c r="B20" s="188">
        <v>89267</v>
      </c>
      <c r="C20" s="26">
        <f t="shared" si="3"/>
        <v>0</v>
      </c>
      <c r="D20" s="78"/>
      <c r="E20" s="26">
        <f>+C20*$F$33</f>
        <v>0</v>
      </c>
      <c r="F20" s="79">
        <f t="shared" si="4"/>
        <v>80340.3</v>
      </c>
    </row>
    <row r="21" spans="1:9" ht="17.25" customHeight="1" x14ac:dyDescent="0.2">
      <c r="A21" s="13" t="s">
        <v>3</v>
      </c>
      <c r="B21" s="188">
        <v>282971</v>
      </c>
      <c r="C21" s="26">
        <f t="shared" si="3"/>
        <v>0</v>
      </c>
      <c r="D21" s="78"/>
      <c r="E21" s="26">
        <f t="shared" ref="E21:E25" si="5">+C21*$F$33</f>
        <v>0</v>
      </c>
      <c r="F21" s="79">
        <f t="shared" si="4"/>
        <v>254673.9</v>
      </c>
    </row>
    <row r="22" spans="1:9" ht="18" x14ac:dyDescent="0.2">
      <c r="A22" s="13" t="s">
        <v>4</v>
      </c>
      <c r="B22" s="188">
        <v>1183</v>
      </c>
      <c r="C22" s="26">
        <f t="shared" si="3"/>
        <v>0</v>
      </c>
      <c r="D22" s="78"/>
      <c r="E22" s="26">
        <f t="shared" si="5"/>
        <v>0</v>
      </c>
      <c r="F22" s="79">
        <f t="shared" si="4"/>
        <v>1064.7</v>
      </c>
    </row>
    <row r="23" spans="1:9" ht="18" x14ac:dyDescent="0.2">
      <c r="A23" s="13" t="s">
        <v>5</v>
      </c>
      <c r="B23" s="188">
        <v>19960</v>
      </c>
      <c r="C23" s="26">
        <f t="shared" si="3"/>
        <v>0</v>
      </c>
      <c r="D23" s="78"/>
      <c r="E23" s="26">
        <f t="shared" si="5"/>
        <v>0</v>
      </c>
      <c r="F23" s="79">
        <f t="shared" si="4"/>
        <v>17964</v>
      </c>
    </row>
    <row r="24" spans="1:9" ht="18" x14ac:dyDescent="0.2">
      <c r="A24" s="13" t="s">
        <v>6</v>
      </c>
      <c r="B24" s="188">
        <v>36901</v>
      </c>
      <c r="C24" s="26">
        <f t="shared" si="3"/>
        <v>0</v>
      </c>
      <c r="D24" s="78"/>
      <c r="E24" s="26">
        <f t="shared" si="5"/>
        <v>0</v>
      </c>
      <c r="F24" s="79">
        <f t="shared" si="4"/>
        <v>33210.9</v>
      </c>
    </row>
    <row r="25" spans="1:9" ht="18" x14ac:dyDescent="0.2">
      <c r="A25" s="13" t="s">
        <v>7</v>
      </c>
      <c r="B25" s="188">
        <v>13834</v>
      </c>
      <c r="C25" s="26">
        <f t="shared" si="3"/>
        <v>0</v>
      </c>
      <c r="D25" s="78"/>
      <c r="E25" s="26">
        <f t="shared" si="5"/>
        <v>0</v>
      </c>
      <c r="F25" s="79">
        <f t="shared" si="4"/>
        <v>12450.6</v>
      </c>
    </row>
    <row r="26" spans="1:9" s="33" customFormat="1" ht="18.75" thickBot="1" x14ac:dyDescent="0.25">
      <c r="A26" s="18" t="s">
        <v>30</v>
      </c>
      <c r="B26" s="19">
        <f>SUM(B19:B25)</f>
        <v>477300</v>
      </c>
      <c r="C26" s="30">
        <f>SUM(C19:C25)</f>
        <v>0</v>
      </c>
      <c r="D26" s="80"/>
      <c r="E26" s="31">
        <f>SUM(E19:E25)</f>
        <v>0</v>
      </c>
      <c r="F26" s="20">
        <f>SUM(F19:F25)</f>
        <v>429570</v>
      </c>
      <c r="I26" s="6"/>
    </row>
    <row r="27" spans="1:9" s="33" customFormat="1" ht="18.75" thickTop="1" x14ac:dyDescent="0.2">
      <c r="A27" s="81"/>
      <c r="B27" s="23"/>
      <c r="C27" s="82"/>
      <c r="D27" s="82"/>
      <c r="E27" s="32"/>
      <c r="F27" s="21"/>
    </row>
    <row r="28" spans="1:9" s="33" customFormat="1" ht="18" x14ac:dyDescent="0.2">
      <c r="A28" s="81"/>
      <c r="B28" s="23"/>
      <c r="C28" s="82"/>
      <c r="D28" s="82"/>
      <c r="E28" s="83" t="s">
        <v>93</v>
      </c>
      <c r="F28" s="218" t="e">
        <f>#REF!</f>
        <v>#REF!</v>
      </c>
    </row>
    <row r="29" spans="1:9" s="33" customFormat="1" ht="18.75" thickBot="1" x14ac:dyDescent="0.25">
      <c r="A29" s="81"/>
      <c r="B29" s="23"/>
      <c r="C29" s="82"/>
      <c r="D29" s="82"/>
      <c r="E29" s="83" t="s">
        <v>60</v>
      </c>
      <c r="F29" s="84" t="e">
        <f>F26-F28</f>
        <v>#REF!</v>
      </c>
    </row>
    <row r="30" spans="1:9" s="33" customFormat="1" ht="18.75" thickTop="1" x14ac:dyDescent="0.2">
      <c r="A30" s="81"/>
      <c r="B30" s="23"/>
      <c r="C30" s="82"/>
      <c r="D30" s="82"/>
      <c r="E30" s="32"/>
      <c r="F30" s="21"/>
    </row>
    <row r="33" spans="2:6" s="87" customFormat="1" ht="14.25" x14ac:dyDescent="0.2">
      <c r="B33" s="88">
        <f>B26-B14-C26</f>
        <v>0</v>
      </c>
      <c r="C33" s="89">
        <f>C26/B14</f>
        <v>0</v>
      </c>
      <c r="D33" s="90"/>
      <c r="F33" s="87">
        <v>0.9</v>
      </c>
    </row>
  </sheetData>
  <mergeCells count="6">
    <mergeCell ref="A1:F1"/>
    <mergeCell ref="A2:F2"/>
    <mergeCell ref="A5:C5"/>
    <mergeCell ref="E5:F5"/>
    <mergeCell ref="A17:C17"/>
    <mergeCell ref="E17:F17"/>
  </mergeCells>
  <printOptions horizontalCentered="1" verticalCentered="1"/>
  <pageMargins left="0.7" right="0.7" top="0.75" bottom="0.75" header="0.3" footer="0.3"/>
  <pageSetup scale="84" orientation="landscape" horizontalDpi="300" verticalDpi="300" r:id="rId1"/>
  <headerFooter alignWithMargins="0">
    <oddHeader>&amp;L&amp;"Arial,Bold"&amp;14Attachment 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L31"/>
  <sheetViews>
    <sheetView tabSelected="1" zoomScaleNormal="100" workbookViewId="0"/>
  </sheetViews>
  <sheetFormatPr defaultRowHeight="14.25" x14ac:dyDescent="0.2"/>
  <cols>
    <col min="1" max="1" width="9" style="94"/>
    <col min="2" max="2" width="12.875" style="94" customWidth="1"/>
    <col min="3" max="3" width="17.75" style="94" customWidth="1"/>
    <col min="4" max="4" width="16.5" style="94" customWidth="1"/>
    <col min="5" max="7" width="10.625" style="94" customWidth="1"/>
    <col min="8" max="8" width="17.375" style="94" customWidth="1"/>
    <col min="9" max="9" width="8.125" style="94" customWidth="1"/>
    <col min="10" max="10" width="7.5" style="94" hidden="1" customWidth="1"/>
    <col min="11" max="11" width="6.25" style="94" hidden="1" customWidth="1"/>
    <col min="12" max="12" width="10.375" style="94" hidden="1" customWidth="1"/>
    <col min="13" max="13" width="9" style="94" customWidth="1"/>
    <col min="14" max="16384" width="9" style="94"/>
  </cols>
  <sheetData>
    <row r="1" spans="2:12" ht="23.25" x14ac:dyDescent="0.2">
      <c r="B1" s="236" t="s">
        <v>27</v>
      </c>
      <c r="C1" s="99"/>
      <c r="D1" s="99"/>
      <c r="E1" s="186"/>
      <c r="F1" s="186"/>
      <c r="G1" s="186"/>
      <c r="H1" s="100"/>
    </row>
    <row r="2" spans="2:12" ht="23.25" x14ac:dyDescent="0.2">
      <c r="B2" s="236" t="s">
        <v>117</v>
      </c>
      <c r="C2" s="99"/>
      <c r="D2" s="99"/>
      <c r="E2" s="186"/>
      <c r="F2" s="186"/>
      <c r="G2" s="186"/>
      <c r="H2" s="100"/>
    </row>
    <row r="3" spans="2:12" x14ac:dyDescent="0.2">
      <c r="B3" s="93"/>
      <c r="C3" s="93"/>
      <c r="D3" s="93"/>
      <c r="H3" s="93"/>
    </row>
    <row r="4" spans="2:12" ht="15.75" x14ac:dyDescent="0.2">
      <c r="B4" s="117" t="s">
        <v>118</v>
      </c>
      <c r="C4" s="113"/>
      <c r="D4" s="113"/>
      <c r="E4" s="114"/>
      <c r="F4" s="114"/>
      <c r="G4" s="114"/>
      <c r="H4" s="234"/>
    </row>
    <row r="5" spans="2:12" ht="15.75" x14ac:dyDescent="0.2">
      <c r="B5" s="119" t="s">
        <v>68</v>
      </c>
      <c r="C5" s="115"/>
      <c r="D5" s="115"/>
      <c r="E5" s="116" t="s">
        <v>66</v>
      </c>
      <c r="F5" s="116"/>
      <c r="G5" s="116"/>
      <c r="H5" s="178"/>
    </row>
    <row r="6" spans="2:12" ht="15" customHeight="1" x14ac:dyDescent="0.2">
      <c r="B6" s="299" t="s">
        <v>0</v>
      </c>
      <c r="C6" s="300" t="s">
        <v>79</v>
      </c>
      <c r="D6" s="301" t="s">
        <v>124</v>
      </c>
      <c r="E6" s="193" t="s">
        <v>95</v>
      </c>
      <c r="F6" s="194"/>
      <c r="G6" s="195"/>
      <c r="H6" s="302" t="s">
        <v>120</v>
      </c>
    </row>
    <row r="7" spans="2:12" ht="45" customHeight="1" x14ac:dyDescent="0.25">
      <c r="B7" s="299"/>
      <c r="C7" s="300"/>
      <c r="D7" s="301"/>
      <c r="E7" s="212" t="s">
        <v>126</v>
      </c>
      <c r="F7" s="213" t="s">
        <v>127</v>
      </c>
      <c r="G7" s="214" t="s">
        <v>128</v>
      </c>
      <c r="H7" s="302"/>
      <c r="J7" s="285" t="s">
        <v>115</v>
      </c>
      <c r="K7" s="285" t="s">
        <v>114</v>
      </c>
      <c r="L7" s="285" t="s">
        <v>112</v>
      </c>
    </row>
    <row r="8" spans="2:12" x14ac:dyDescent="0.2">
      <c r="B8" s="107" t="s">
        <v>1</v>
      </c>
      <c r="C8" s="272">
        <v>34141</v>
      </c>
      <c r="D8" s="168">
        <v>957</v>
      </c>
      <c r="E8" s="149">
        <f>ROUND(D8*$K$10,0)</f>
        <v>861</v>
      </c>
      <c r="F8" s="206">
        <f>ROUND(($C8-$D8)*($K$10-$K$9),0)</f>
        <v>3982</v>
      </c>
      <c r="G8" s="211">
        <f>SUM(E8:F8)</f>
        <v>4843</v>
      </c>
      <c r="H8" s="220">
        <f t="shared" ref="H8:H14" si="0">ROUND(C8*$K$10,0)</f>
        <v>30727</v>
      </c>
      <c r="J8" s="94" t="s">
        <v>18</v>
      </c>
      <c r="K8" s="284">
        <f>'Data CA'!T27</f>
        <v>0.68</v>
      </c>
    </row>
    <row r="9" spans="2:12" x14ac:dyDescent="0.2">
      <c r="B9" s="95" t="s">
        <v>2</v>
      </c>
      <c r="C9" s="273">
        <v>92277</v>
      </c>
      <c r="D9" s="170">
        <v>3010</v>
      </c>
      <c r="E9" s="145">
        <f t="shared" ref="E9:E14" si="1">ROUND(D9*$K$10,0)</f>
        <v>2709</v>
      </c>
      <c r="F9" s="196">
        <f t="shared" ref="F9:F14" si="2">ROUND(($C9-$D9)*($K$10-$K$9),0)</f>
        <v>10712</v>
      </c>
      <c r="G9" s="202">
        <f t="shared" ref="G9:G14" si="3">SUM(E9:F9)</f>
        <v>13421</v>
      </c>
      <c r="H9" s="221">
        <f t="shared" si="0"/>
        <v>83049</v>
      </c>
      <c r="J9" s="94" t="s">
        <v>20</v>
      </c>
      <c r="K9" s="284">
        <f>'Data CA'!U27</f>
        <v>0.78</v>
      </c>
      <c r="L9" s="286">
        <v>3.5162561512252569E-2</v>
      </c>
    </row>
    <row r="10" spans="2:12" x14ac:dyDescent="0.2">
      <c r="B10" s="95" t="s">
        <v>3</v>
      </c>
      <c r="C10" s="273">
        <v>293171</v>
      </c>
      <c r="D10" s="170">
        <v>10200</v>
      </c>
      <c r="E10" s="145">
        <f t="shared" si="1"/>
        <v>9180</v>
      </c>
      <c r="F10" s="196">
        <f t="shared" si="2"/>
        <v>33957</v>
      </c>
      <c r="G10" s="202">
        <f t="shared" si="3"/>
        <v>43137</v>
      </c>
      <c r="H10" s="221">
        <f t="shared" si="0"/>
        <v>263854</v>
      </c>
      <c r="J10" s="94" t="s">
        <v>74</v>
      </c>
      <c r="K10" s="284">
        <f>'Data CA'!V27</f>
        <v>0.9</v>
      </c>
      <c r="L10" s="286">
        <f>D15/(C15-D15)</f>
        <v>3.598365807668133E-2</v>
      </c>
    </row>
    <row r="11" spans="2:12" x14ac:dyDescent="0.2">
      <c r="B11" s="95" t="s">
        <v>4</v>
      </c>
      <c r="C11" s="273">
        <v>1213</v>
      </c>
      <c r="D11" s="170">
        <v>30</v>
      </c>
      <c r="E11" s="145">
        <f t="shared" si="1"/>
        <v>27</v>
      </c>
      <c r="F11" s="196">
        <f t="shared" si="2"/>
        <v>142</v>
      </c>
      <c r="G11" s="202">
        <f t="shared" si="3"/>
        <v>169</v>
      </c>
      <c r="H11" s="221">
        <f t="shared" si="0"/>
        <v>1092</v>
      </c>
      <c r="J11" s="94" t="s">
        <v>116</v>
      </c>
      <c r="K11" s="284">
        <f>'Data CA'!W27</f>
        <v>1.03</v>
      </c>
      <c r="L11" s="286">
        <f>D28/(C28-D28)</f>
        <v>5.4959300267960969E-2</v>
      </c>
    </row>
    <row r="12" spans="2:12" x14ac:dyDescent="0.2">
      <c r="B12" s="95" t="s">
        <v>5</v>
      </c>
      <c r="C12" s="273">
        <v>20669</v>
      </c>
      <c r="D12" s="170">
        <v>709</v>
      </c>
      <c r="E12" s="145">
        <f t="shared" si="1"/>
        <v>638</v>
      </c>
      <c r="F12" s="196">
        <f t="shared" si="2"/>
        <v>2395</v>
      </c>
      <c r="G12" s="202">
        <f t="shared" si="3"/>
        <v>3033</v>
      </c>
      <c r="H12" s="221">
        <f t="shared" si="0"/>
        <v>18602</v>
      </c>
    </row>
    <row r="13" spans="2:12" x14ac:dyDescent="0.2">
      <c r="B13" s="95" t="s">
        <v>6</v>
      </c>
      <c r="C13" s="273">
        <v>38448</v>
      </c>
      <c r="D13" s="170">
        <v>1547</v>
      </c>
      <c r="E13" s="145">
        <f t="shared" si="1"/>
        <v>1392</v>
      </c>
      <c r="F13" s="196">
        <f t="shared" si="2"/>
        <v>4428</v>
      </c>
      <c r="G13" s="202">
        <f t="shared" si="3"/>
        <v>5820</v>
      </c>
      <c r="H13" s="221">
        <f t="shared" si="0"/>
        <v>34603</v>
      </c>
    </row>
    <row r="14" spans="2:12" ht="15" thickBot="1" x14ac:dyDescent="0.25">
      <c r="B14" s="101" t="s">
        <v>7</v>
      </c>
      <c r="C14" s="274">
        <v>14556</v>
      </c>
      <c r="D14" s="172">
        <v>722</v>
      </c>
      <c r="E14" s="146">
        <f t="shared" si="1"/>
        <v>650</v>
      </c>
      <c r="F14" s="197">
        <f t="shared" si="2"/>
        <v>1660</v>
      </c>
      <c r="G14" s="203">
        <f t="shared" si="3"/>
        <v>2310</v>
      </c>
      <c r="H14" s="222">
        <f t="shared" si="0"/>
        <v>13100</v>
      </c>
    </row>
    <row r="15" spans="2:12" ht="15.75" thickBot="1" x14ac:dyDescent="0.25">
      <c r="B15" s="103" t="s">
        <v>30</v>
      </c>
      <c r="C15" s="173">
        <f t="shared" ref="C15:H15" si="4">SUM(C8:C14)</f>
        <v>494475</v>
      </c>
      <c r="D15" s="174">
        <f t="shared" si="4"/>
        <v>17175</v>
      </c>
      <c r="E15" s="151">
        <f t="shared" si="4"/>
        <v>15457</v>
      </c>
      <c r="F15" s="198">
        <f t="shared" si="4"/>
        <v>57276</v>
      </c>
      <c r="G15" s="204">
        <f t="shared" si="4"/>
        <v>72733</v>
      </c>
      <c r="H15" s="290">
        <f t="shared" si="4"/>
        <v>445027</v>
      </c>
      <c r="J15" s="45"/>
      <c r="K15" s="280"/>
    </row>
    <row r="16" spans="2:12" ht="15" x14ac:dyDescent="0.25">
      <c r="B16" s="93"/>
      <c r="C16" s="93"/>
      <c r="D16" s="93"/>
      <c r="E16" s="3"/>
      <c r="H16" s="93"/>
      <c r="J16"/>
    </row>
    <row r="17" spans="2:10" ht="15.75" x14ac:dyDescent="0.2">
      <c r="B17" s="130" t="s">
        <v>121</v>
      </c>
      <c r="C17" s="126"/>
      <c r="D17" s="126"/>
      <c r="E17" s="127"/>
      <c r="F17" s="127"/>
      <c r="G17" s="127"/>
      <c r="H17" s="231"/>
      <c r="J17"/>
    </row>
    <row r="18" spans="2:10" ht="15.75" x14ac:dyDescent="0.2">
      <c r="B18" s="132" t="s">
        <v>68</v>
      </c>
      <c r="C18" s="128"/>
      <c r="D18" s="128"/>
      <c r="E18" s="129" t="s">
        <v>67</v>
      </c>
      <c r="F18" s="129"/>
      <c r="G18" s="129"/>
      <c r="H18" s="232"/>
      <c r="J18"/>
    </row>
    <row r="19" spans="2:10" ht="15" customHeight="1" x14ac:dyDescent="0.2">
      <c r="B19" s="303" t="s">
        <v>0</v>
      </c>
      <c r="C19" s="305" t="s">
        <v>119</v>
      </c>
      <c r="D19" s="307" t="s">
        <v>125</v>
      </c>
      <c r="E19" s="181" t="s">
        <v>95</v>
      </c>
      <c r="F19" s="182"/>
      <c r="G19" s="183"/>
      <c r="H19" s="309" t="s">
        <v>122</v>
      </c>
      <c r="J19"/>
    </row>
    <row r="20" spans="2:10" ht="45" customHeight="1" x14ac:dyDescent="0.2">
      <c r="B20" s="304"/>
      <c r="C20" s="306"/>
      <c r="D20" s="308"/>
      <c r="E20" s="184" t="s">
        <v>126</v>
      </c>
      <c r="F20" s="185" t="s">
        <v>127</v>
      </c>
      <c r="G20" s="205" t="s">
        <v>128</v>
      </c>
      <c r="H20" s="310"/>
      <c r="J20"/>
    </row>
    <row r="21" spans="2:10" x14ac:dyDescent="0.2">
      <c r="B21" s="107" t="s">
        <v>1</v>
      </c>
      <c r="C21" s="272">
        <v>35665</v>
      </c>
      <c r="D21" s="168">
        <f t="shared" ref="D21:D27" si="5">+C21-C8</f>
        <v>1524</v>
      </c>
      <c r="E21" s="149">
        <f>ROUND(D21*$K$11,0)</f>
        <v>1570</v>
      </c>
      <c r="F21" s="206">
        <f>ROUND(($C21-$D21)*($K$11-$K$10),0)</f>
        <v>4438</v>
      </c>
      <c r="G21" s="207">
        <f>SUM(E21:F21)</f>
        <v>6008</v>
      </c>
      <c r="H21" s="163">
        <f t="shared" ref="H21:H27" si="6">ROUND(C21*$K$11,0)</f>
        <v>36735</v>
      </c>
      <c r="J21"/>
    </row>
    <row r="22" spans="2:10" x14ac:dyDescent="0.2">
      <c r="B22" s="95" t="s">
        <v>2</v>
      </c>
      <c r="C22" s="273">
        <v>104600</v>
      </c>
      <c r="D22" s="170">
        <f t="shared" si="5"/>
        <v>12323</v>
      </c>
      <c r="E22" s="145">
        <f t="shared" ref="E22:E26" si="7">ROUND(D22*$K$11,0)</f>
        <v>12693</v>
      </c>
      <c r="F22" s="196">
        <f t="shared" ref="F22:F27" si="8">ROUND(($C22-$D22)*($K$11-$K$10),0)</f>
        <v>11996</v>
      </c>
      <c r="G22" s="208">
        <f t="shared" ref="G22:G27" si="9">SUM(E22:F22)</f>
        <v>24689</v>
      </c>
      <c r="H22" s="160">
        <f t="shared" si="6"/>
        <v>107738</v>
      </c>
      <c r="J22"/>
    </row>
    <row r="23" spans="2:10" x14ac:dyDescent="0.2">
      <c r="B23" s="95" t="s">
        <v>3</v>
      </c>
      <c r="C23" s="273">
        <v>306060</v>
      </c>
      <c r="D23" s="170">
        <f t="shared" si="5"/>
        <v>12889</v>
      </c>
      <c r="E23" s="145">
        <f t="shared" si="7"/>
        <v>13276</v>
      </c>
      <c r="F23" s="196">
        <f t="shared" si="8"/>
        <v>38112</v>
      </c>
      <c r="G23" s="208">
        <f t="shared" si="9"/>
        <v>51388</v>
      </c>
      <c r="H23" s="160">
        <f t="shared" si="6"/>
        <v>315242</v>
      </c>
      <c r="J23"/>
    </row>
    <row r="24" spans="2:10" x14ac:dyDescent="0.2">
      <c r="B24" s="95" t="s">
        <v>4</v>
      </c>
      <c r="C24" s="273">
        <v>1284</v>
      </c>
      <c r="D24" s="170">
        <f t="shared" si="5"/>
        <v>71</v>
      </c>
      <c r="E24" s="145">
        <f t="shared" si="7"/>
        <v>73</v>
      </c>
      <c r="F24" s="196">
        <f t="shared" si="8"/>
        <v>158</v>
      </c>
      <c r="G24" s="208">
        <f t="shared" si="9"/>
        <v>231</v>
      </c>
      <c r="H24" s="160">
        <f t="shared" si="6"/>
        <v>1323</v>
      </c>
      <c r="J24"/>
    </row>
    <row r="25" spans="2:10" x14ac:dyDescent="0.2">
      <c r="B25" s="95" t="s">
        <v>5</v>
      </c>
      <c r="C25" s="273">
        <v>20547</v>
      </c>
      <c r="D25" s="170">
        <f t="shared" si="5"/>
        <v>-122</v>
      </c>
      <c r="E25" s="145">
        <f t="shared" si="7"/>
        <v>-126</v>
      </c>
      <c r="F25" s="196">
        <f t="shared" si="8"/>
        <v>2687</v>
      </c>
      <c r="G25" s="208">
        <f t="shared" si="9"/>
        <v>2561</v>
      </c>
      <c r="H25" s="160">
        <f t="shared" si="6"/>
        <v>21163</v>
      </c>
      <c r="J25"/>
    </row>
    <row r="26" spans="2:10" x14ac:dyDescent="0.2">
      <c r="B26" s="95" t="s">
        <v>6</v>
      </c>
      <c r="C26" s="273">
        <v>39433</v>
      </c>
      <c r="D26" s="170">
        <f t="shared" si="5"/>
        <v>985</v>
      </c>
      <c r="E26" s="145">
        <f t="shared" si="7"/>
        <v>1015</v>
      </c>
      <c r="F26" s="196">
        <f t="shared" si="8"/>
        <v>4998</v>
      </c>
      <c r="G26" s="208">
        <f t="shared" si="9"/>
        <v>6013</v>
      </c>
      <c r="H26" s="160">
        <f t="shared" si="6"/>
        <v>40616</v>
      </c>
      <c r="J26"/>
    </row>
    <row r="27" spans="2:10" ht="15" thickBot="1" x14ac:dyDescent="0.25">
      <c r="B27" s="101" t="s">
        <v>7</v>
      </c>
      <c r="C27" s="274">
        <v>14062</v>
      </c>
      <c r="D27" s="172">
        <f t="shared" si="5"/>
        <v>-494</v>
      </c>
      <c r="E27" s="146">
        <f>ROUNDDOWN(D27*$K$11,0)</f>
        <v>-508</v>
      </c>
      <c r="F27" s="197">
        <f t="shared" si="8"/>
        <v>1892</v>
      </c>
      <c r="G27" s="209">
        <f t="shared" si="9"/>
        <v>1384</v>
      </c>
      <c r="H27" s="161">
        <f t="shared" si="6"/>
        <v>14484</v>
      </c>
      <c r="J27"/>
    </row>
    <row r="28" spans="2:10" ht="15.75" thickBot="1" x14ac:dyDescent="0.25">
      <c r="B28" s="103" t="s">
        <v>30</v>
      </c>
      <c r="C28" s="173">
        <f t="shared" ref="C28:H28" si="10">SUM(C21:C27)</f>
        <v>521651</v>
      </c>
      <c r="D28" s="174">
        <f t="shared" si="10"/>
        <v>27176</v>
      </c>
      <c r="E28" s="151">
        <f t="shared" si="10"/>
        <v>27993</v>
      </c>
      <c r="F28" s="198">
        <f t="shared" si="10"/>
        <v>64281</v>
      </c>
      <c r="G28" s="210">
        <f t="shared" si="10"/>
        <v>92274</v>
      </c>
      <c r="H28" s="291">
        <f t="shared" si="10"/>
        <v>537301</v>
      </c>
      <c r="J28"/>
    </row>
    <row r="29" spans="2:10" x14ac:dyDescent="0.2">
      <c r="B29" s="93"/>
      <c r="C29" s="93"/>
      <c r="D29" s="93"/>
      <c r="H29" s="93"/>
    </row>
    <row r="30" spans="2:10" x14ac:dyDescent="0.2">
      <c r="B30" s="93"/>
      <c r="C30" s="93"/>
      <c r="D30" s="93"/>
      <c r="H30" s="166"/>
    </row>
    <row r="31" spans="2:10" x14ac:dyDescent="0.2">
      <c r="B31" s="98"/>
      <c r="D31" s="89"/>
      <c r="H31" s="283"/>
    </row>
  </sheetData>
  <sheetProtection sheet="1" objects="1" scenarios="1"/>
  <mergeCells count="8">
    <mergeCell ref="B6:B7"/>
    <mergeCell ref="C6:C7"/>
    <mergeCell ref="D6:D7"/>
    <mergeCell ref="H6:H7"/>
    <mergeCell ref="B19:B20"/>
    <mergeCell ref="C19:C20"/>
    <mergeCell ref="D19:D20"/>
    <mergeCell ref="H19:H20"/>
  </mergeCells>
  <printOptions horizontalCentered="1" verticalCentered="1"/>
  <pageMargins left="0.7" right="0.7" top="0.4" bottom="0.25" header="0.25" footer="0.2"/>
  <pageSetup orientation="landscape" r:id="rId1"/>
  <headerFooter>
    <oddHeader>&amp;L&amp;"Arial,Bold"Attachment 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T54"/>
  <sheetViews>
    <sheetView zoomScale="75" zoomScaleNormal="75" workbookViewId="0"/>
  </sheetViews>
  <sheetFormatPr defaultRowHeight="14.25" x14ac:dyDescent="0.2"/>
  <cols>
    <col min="1" max="1" width="9" style="94"/>
    <col min="2" max="2" width="12.875" style="94" customWidth="1"/>
    <col min="3" max="3" width="17.75" style="94" customWidth="1"/>
    <col min="4" max="4" width="16.5" style="94" customWidth="1"/>
    <col min="5" max="7" width="10.625" style="94" customWidth="1"/>
    <col min="8" max="8" width="17.375" style="94" customWidth="1"/>
    <col min="9" max="9" width="1.875" style="94" customWidth="1"/>
    <col min="10" max="10" width="13.875" style="94" customWidth="1"/>
    <col min="11" max="11" width="17" style="94" customWidth="1"/>
    <col min="12" max="12" width="9" style="94"/>
    <col min="13" max="13" width="0" style="94" hidden="1" customWidth="1"/>
    <col min="14" max="14" width="14.375" style="94" hidden="1" customWidth="1"/>
    <col min="15" max="15" width="11" style="94" hidden="1" customWidth="1"/>
    <col min="16" max="18" width="0" style="94" hidden="1" customWidth="1"/>
    <col min="19" max="19" width="25.625" style="94" hidden="1" customWidth="1"/>
    <col min="20" max="16384" width="9" style="94"/>
  </cols>
  <sheetData>
    <row r="1" spans="2:19" ht="23.25" x14ac:dyDescent="0.2">
      <c r="B1" s="236" t="s">
        <v>27</v>
      </c>
      <c r="C1" s="99"/>
      <c r="D1" s="99"/>
      <c r="E1" s="186"/>
      <c r="F1" s="186"/>
      <c r="G1" s="186"/>
      <c r="H1" s="100"/>
      <c r="I1" s="100"/>
      <c r="J1" s="100"/>
      <c r="K1" s="100"/>
      <c r="S1" s="99"/>
    </row>
    <row r="2" spans="2:19" ht="23.25" x14ac:dyDescent="0.2">
      <c r="B2" s="236" t="s">
        <v>78</v>
      </c>
      <c r="C2" s="99"/>
      <c r="D2" s="99"/>
      <c r="E2" s="186"/>
      <c r="F2" s="186"/>
      <c r="G2" s="186"/>
      <c r="H2" s="100"/>
      <c r="I2" s="100"/>
      <c r="J2" s="100"/>
      <c r="K2" s="100"/>
      <c r="S2" s="99"/>
    </row>
    <row r="3" spans="2:19" x14ac:dyDescent="0.2">
      <c r="B3" s="93"/>
      <c r="C3" s="93"/>
      <c r="D3" s="93"/>
      <c r="H3" s="93"/>
      <c r="I3" s="93"/>
      <c r="J3" s="93"/>
      <c r="K3" s="93"/>
      <c r="S3" s="93"/>
    </row>
    <row r="4" spans="2:19" ht="15.75" x14ac:dyDescent="0.2">
      <c r="B4" s="121" t="s">
        <v>82</v>
      </c>
      <c r="C4" s="109"/>
      <c r="D4" s="109"/>
      <c r="E4" s="110"/>
      <c r="F4" s="110"/>
      <c r="G4" s="110"/>
      <c r="H4" s="235"/>
      <c r="I4" s="109"/>
      <c r="J4" s="109"/>
      <c r="K4" s="122"/>
      <c r="S4" s="110"/>
    </row>
    <row r="5" spans="2:19" ht="15.75" x14ac:dyDescent="0.2">
      <c r="B5" s="123" t="s">
        <v>68</v>
      </c>
      <c r="C5" s="111"/>
      <c r="D5" s="111"/>
      <c r="E5" s="112" t="s">
        <v>64</v>
      </c>
      <c r="F5" s="112"/>
      <c r="G5" s="112"/>
      <c r="H5" s="175"/>
      <c r="I5" s="233"/>
      <c r="J5" s="136" t="s">
        <v>65</v>
      </c>
      <c r="K5" s="124"/>
    </row>
    <row r="6" spans="2:19" ht="15" customHeight="1" x14ac:dyDescent="0.2">
      <c r="B6" s="312" t="s">
        <v>0</v>
      </c>
      <c r="C6" s="313" t="s">
        <v>32</v>
      </c>
      <c r="D6" s="314" t="s">
        <v>96</v>
      </c>
      <c r="E6" s="191" t="s">
        <v>95</v>
      </c>
      <c r="F6" s="192"/>
      <c r="G6" s="190"/>
      <c r="H6" s="315" t="s">
        <v>104</v>
      </c>
      <c r="I6" s="189"/>
      <c r="J6" s="316" t="s">
        <v>63</v>
      </c>
      <c r="K6" s="311" t="s">
        <v>53</v>
      </c>
    </row>
    <row r="7" spans="2:19" ht="45" x14ac:dyDescent="0.25">
      <c r="B7" s="312"/>
      <c r="C7" s="313"/>
      <c r="D7" s="314"/>
      <c r="E7" s="216" t="s">
        <v>89</v>
      </c>
      <c r="F7" s="176" t="s">
        <v>88</v>
      </c>
      <c r="G7" s="217" t="s">
        <v>92</v>
      </c>
      <c r="H7" s="315"/>
      <c r="I7" s="141"/>
      <c r="J7" s="316"/>
      <c r="K7" s="311"/>
      <c r="M7" s="285" t="s">
        <v>115</v>
      </c>
      <c r="N7" s="285" t="s">
        <v>114</v>
      </c>
      <c r="O7" s="285" t="s">
        <v>112</v>
      </c>
      <c r="P7" s="285" t="s">
        <v>113</v>
      </c>
      <c r="S7" s="177" t="s">
        <v>69</v>
      </c>
    </row>
    <row r="8" spans="2:19" x14ac:dyDescent="0.2">
      <c r="B8" s="107" t="s">
        <v>1</v>
      </c>
      <c r="C8" s="167">
        <v>32316</v>
      </c>
      <c r="D8" s="168">
        <v>874</v>
      </c>
      <c r="E8" s="149">
        <f t="shared" ref="E8:E14" si="0">D8*$N$9</f>
        <v>594.32000000000005</v>
      </c>
      <c r="F8" s="206">
        <f>($C8-$D8)*($N$9-$N$8)</f>
        <v>0</v>
      </c>
      <c r="G8" s="215">
        <f>SUM(E8:F8)</f>
        <v>594.32000000000005</v>
      </c>
      <c r="H8" s="224">
        <f>ROUND(C8*$N$9,0)</f>
        <v>21975</v>
      </c>
      <c r="I8" s="144"/>
      <c r="J8" s="277">
        <v>701365</v>
      </c>
      <c r="K8" s="154">
        <f>J8/H8</f>
        <v>31.916496018202501</v>
      </c>
      <c r="M8" s="94" t="s">
        <v>18</v>
      </c>
      <c r="N8" s="284">
        <v>0.68</v>
      </c>
      <c r="S8" s="149">
        <f>D8*$N$9</f>
        <v>594.32000000000005</v>
      </c>
    </row>
    <row r="9" spans="2:19" x14ac:dyDescent="0.2">
      <c r="B9" s="95" t="s">
        <v>2</v>
      </c>
      <c r="C9" s="169">
        <v>86493</v>
      </c>
      <c r="D9" s="170">
        <v>2677</v>
      </c>
      <c r="E9" s="145">
        <f t="shared" si="0"/>
        <v>1820.3600000000001</v>
      </c>
      <c r="F9" s="196">
        <f t="shared" ref="F9:F14" si="1">($C9-$D9)*($N$9-$N$8)</f>
        <v>0</v>
      </c>
      <c r="G9" s="199">
        <f t="shared" ref="G9:G14" si="2">SUM(E9:F9)</f>
        <v>1820.3600000000001</v>
      </c>
      <c r="H9" s="225">
        <f t="shared" ref="H9:H14" si="3">ROUND(C9*$N$9,0)</f>
        <v>58815</v>
      </c>
      <c r="I9" s="144"/>
      <c r="J9" s="278">
        <v>1452069</v>
      </c>
      <c r="K9" s="152">
        <f>J9/H9</f>
        <v>24.688752869166031</v>
      </c>
      <c r="M9" s="94" t="s">
        <v>19</v>
      </c>
      <c r="N9" s="284">
        <v>0.68</v>
      </c>
      <c r="O9" s="286">
        <f>D15/(C15-D15)</f>
        <v>3.6355504009781707E-2</v>
      </c>
      <c r="S9" s="145">
        <f t="shared" ref="S9:S14" si="4">D9*$N$9</f>
        <v>1820.3600000000001</v>
      </c>
    </row>
    <row r="10" spans="2:19" x14ac:dyDescent="0.2">
      <c r="B10" s="95" t="s">
        <v>3</v>
      </c>
      <c r="C10" s="169">
        <v>273208</v>
      </c>
      <c r="D10" s="170">
        <v>9904</v>
      </c>
      <c r="E10" s="145">
        <f t="shared" si="0"/>
        <v>6734.72</v>
      </c>
      <c r="F10" s="196">
        <f t="shared" si="1"/>
        <v>0</v>
      </c>
      <c r="G10" s="199">
        <f t="shared" si="2"/>
        <v>6734.72</v>
      </c>
      <c r="H10" s="225">
        <f t="shared" si="3"/>
        <v>185781</v>
      </c>
      <c r="I10" s="144"/>
      <c r="J10" s="278">
        <v>5428079</v>
      </c>
      <c r="K10" s="152">
        <f t="shared" ref="K10:K15" si="5">J10/H10</f>
        <v>29.217621823544928</v>
      </c>
      <c r="M10" s="94" t="s">
        <v>20</v>
      </c>
      <c r="N10" s="284">
        <v>0.78</v>
      </c>
      <c r="O10" s="286">
        <f>D31/(C31-D31)</f>
        <v>3.5162561512252569E-2</v>
      </c>
      <c r="P10" s="286">
        <f>(J31-J15)/J15</f>
        <v>5.8561399509186721E-2</v>
      </c>
      <c r="S10" s="145">
        <f t="shared" si="4"/>
        <v>6734.72</v>
      </c>
    </row>
    <row r="11" spans="2:19" x14ac:dyDescent="0.2">
      <c r="B11" s="95" t="s">
        <v>4</v>
      </c>
      <c r="C11" s="169">
        <v>1157</v>
      </c>
      <c r="D11" s="170">
        <v>23</v>
      </c>
      <c r="E11" s="145">
        <f t="shared" si="0"/>
        <v>15.64</v>
      </c>
      <c r="F11" s="196">
        <f t="shared" si="1"/>
        <v>0</v>
      </c>
      <c r="G11" s="199">
        <f t="shared" si="2"/>
        <v>15.64</v>
      </c>
      <c r="H11" s="225">
        <f t="shared" si="3"/>
        <v>787</v>
      </c>
      <c r="I11" s="144"/>
      <c r="J11" s="278">
        <v>98562</v>
      </c>
      <c r="K11" s="152">
        <f t="shared" si="5"/>
        <v>125.23761118170268</v>
      </c>
      <c r="M11" s="94" t="s">
        <v>74</v>
      </c>
      <c r="N11" s="284">
        <v>0.9</v>
      </c>
      <c r="O11" s="286">
        <f>D47/(C47-D47)</f>
        <v>3.598365807668133E-2</v>
      </c>
      <c r="P11" s="286">
        <f>(N47-J31)/J31</f>
        <v>0.19529817558373241</v>
      </c>
      <c r="S11" s="145">
        <f t="shared" si="4"/>
        <v>15.64</v>
      </c>
    </row>
    <row r="12" spans="2:19" x14ac:dyDescent="0.2">
      <c r="B12" s="95" t="s">
        <v>5</v>
      </c>
      <c r="C12" s="169">
        <v>19279</v>
      </c>
      <c r="D12" s="170">
        <v>666</v>
      </c>
      <c r="E12" s="145">
        <f t="shared" si="0"/>
        <v>452.88000000000005</v>
      </c>
      <c r="F12" s="196">
        <f t="shared" si="1"/>
        <v>0</v>
      </c>
      <c r="G12" s="199">
        <f t="shared" si="2"/>
        <v>452.88000000000005</v>
      </c>
      <c r="H12" s="225">
        <f t="shared" si="3"/>
        <v>13110</v>
      </c>
      <c r="I12" s="144"/>
      <c r="J12" s="278">
        <v>468597</v>
      </c>
      <c r="K12" s="152">
        <f t="shared" si="5"/>
        <v>35.743478260869566</v>
      </c>
      <c r="S12" s="145">
        <f t="shared" si="4"/>
        <v>452.88000000000005</v>
      </c>
    </row>
    <row r="13" spans="2:19" x14ac:dyDescent="0.2">
      <c r="B13" s="95" t="s">
        <v>6</v>
      </c>
      <c r="C13" s="169">
        <v>35483</v>
      </c>
      <c r="D13" s="170">
        <v>1425</v>
      </c>
      <c r="E13" s="145">
        <f t="shared" si="0"/>
        <v>969.00000000000011</v>
      </c>
      <c r="F13" s="196">
        <f t="shared" si="1"/>
        <v>0</v>
      </c>
      <c r="G13" s="199">
        <f t="shared" si="2"/>
        <v>969.00000000000011</v>
      </c>
      <c r="H13" s="225">
        <f t="shared" si="3"/>
        <v>24128</v>
      </c>
      <c r="I13" s="144"/>
      <c r="J13" s="278">
        <v>683607</v>
      </c>
      <c r="K13" s="152">
        <f t="shared" si="5"/>
        <v>28.332518236074272</v>
      </c>
      <c r="S13" s="145">
        <f t="shared" si="4"/>
        <v>969.00000000000011</v>
      </c>
    </row>
    <row r="14" spans="2:19" ht="15" thickBot="1" x14ac:dyDescent="0.25">
      <c r="B14" s="101" t="s">
        <v>7</v>
      </c>
      <c r="C14" s="171">
        <v>13151</v>
      </c>
      <c r="D14" s="172">
        <v>606</v>
      </c>
      <c r="E14" s="146">
        <f t="shared" si="0"/>
        <v>412.08000000000004</v>
      </c>
      <c r="F14" s="197">
        <f t="shared" si="1"/>
        <v>0</v>
      </c>
      <c r="G14" s="200">
        <f t="shared" si="2"/>
        <v>412.08000000000004</v>
      </c>
      <c r="H14" s="226">
        <f t="shared" si="3"/>
        <v>8943</v>
      </c>
      <c r="I14" s="144"/>
      <c r="J14" s="279">
        <v>352884</v>
      </c>
      <c r="K14" s="153">
        <f t="shared" si="5"/>
        <v>39.459241865145927</v>
      </c>
      <c r="S14" s="146">
        <f t="shared" si="4"/>
        <v>412.08000000000004</v>
      </c>
    </row>
    <row r="15" spans="2:19" ht="15.75" thickBot="1" x14ac:dyDescent="0.25">
      <c r="B15" s="103" t="s">
        <v>30</v>
      </c>
      <c r="C15" s="173">
        <f t="shared" ref="C15:H15" si="6">SUM(C8:C14)</f>
        <v>461087</v>
      </c>
      <c r="D15" s="174">
        <f t="shared" si="6"/>
        <v>16175</v>
      </c>
      <c r="E15" s="151">
        <f t="shared" si="6"/>
        <v>10999</v>
      </c>
      <c r="F15" s="198">
        <f t="shared" si="6"/>
        <v>0</v>
      </c>
      <c r="G15" s="201">
        <f t="shared" si="6"/>
        <v>10999</v>
      </c>
      <c r="H15" s="227">
        <f t="shared" si="6"/>
        <v>313539</v>
      </c>
      <c r="I15" s="147"/>
      <c r="J15" s="150">
        <f t="shared" ref="J15" si="7">SUM(J8:J14)</f>
        <v>9185163</v>
      </c>
      <c r="K15" s="155">
        <f t="shared" si="5"/>
        <v>29.295121181097088</v>
      </c>
      <c r="S15" s="151">
        <f>SUM(S8:S14)</f>
        <v>10999</v>
      </c>
    </row>
    <row r="16" spans="2:19" ht="5.0999999999999996" customHeight="1" x14ac:dyDescent="0.2">
      <c r="B16" s="93"/>
      <c r="C16" s="93"/>
      <c r="D16" s="93"/>
      <c r="H16" s="106"/>
      <c r="I16" s="93"/>
      <c r="J16" s="93"/>
      <c r="K16" s="93"/>
      <c r="S16" s="93"/>
    </row>
    <row r="17" spans="2:20" ht="15" x14ac:dyDescent="0.2">
      <c r="B17" s="92"/>
      <c r="C17" s="92"/>
      <c r="D17" s="92"/>
      <c r="G17" s="97" t="s">
        <v>83</v>
      </c>
      <c r="H17" s="228">
        <v>359539</v>
      </c>
      <c r="I17" s="92"/>
      <c r="J17" s="92"/>
      <c r="K17" s="92"/>
    </row>
    <row r="18" spans="2:20" ht="15.75" thickBot="1" x14ac:dyDescent="0.25">
      <c r="B18" s="92"/>
      <c r="C18" s="92"/>
      <c r="D18" s="92"/>
      <c r="G18" s="97" t="s">
        <v>60</v>
      </c>
      <c r="H18" s="148">
        <f>H15-H17</f>
        <v>-46000</v>
      </c>
      <c r="I18" s="92"/>
      <c r="J18" s="92"/>
      <c r="K18" s="92"/>
    </row>
    <row r="19" spans="2:20" ht="15" thickTop="1" x14ac:dyDescent="0.2">
      <c r="B19" s="93"/>
      <c r="C19" s="93"/>
      <c r="D19" s="93"/>
      <c r="H19" s="93"/>
      <c r="I19" s="93"/>
      <c r="J19" s="93"/>
      <c r="K19" s="93"/>
      <c r="S19" s="93"/>
    </row>
    <row r="20" spans="2:20" ht="15.75" x14ac:dyDescent="0.2">
      <c r="B20" s="117" t="s">
        <v>84</v>
      </c>
      <c r="C20" s="113"/>
      <c r="D20" s="113"/>
      <c r="E20" s="114"/>
      <c r="F20" s="114"/>
      <c r="G20" s="114"/>
      <c r="H20" s="234"/>
      <c r="I20" s="113"/>
      <c r="J20" s="113"/>
      <c r="K20" s="118"/>
      <c r="S20" s="114"/>
    </row>
    <row r="21" spans="2:20" ht="15.75" x14ac:dyDescent="0.2">
      <c r="B21" s="119" t="s">
        <v>68</v>
      </c>
      <c r="C21" s="115"/>
      <c r="D21" s="115"/>
      <c r="E21" s="116" t="s">
        <v>66</v>
      </c>
      <c r="F21" s="116"/>
      <c r="G21" s="116"/>
      <c r="H21" s="178"/>
      <c r="I21" s="233"/>
      <c r="J21" s="137" t="s">
        <v>65</v>
      </c>
      <c r="K21" s="120"/>
    </row>
    <row r="22" spans="2:20" ht="15" customHeight="1" x14ac:dyDescent="0.2">
      <c r="B22" s="299" t="s">
        <v>0</v>
      </c>
      <c r="C22" s="300" t="s">
        <v>55</v>
      </c>
      <c r="D22" s="301" t="s">
        <v>91</v>
      </c>
      <c r="E22" s="193" t="s">
        <v>95</v>
      </c>
      <c r="F22" s="194"/>
      <c r="G22" s="195"/>
      <c r="H22" s="302" t="s">
        <v>103</v>
      </c>
      <c r="I22" s="135"/>
      <c r="J22" s="300" t="s">
        <v>62</v>
      </c>
      <c r="K22" s="300" t="s">
        <v>53</v>
      </c>
    </row>
    <row r="23" spans="2:20" ht="45" customHeight="1" x14ac:dyDescent="0.2">
      <c r="B23" s="299"/>
      <c r="C23" s="300"/>
      <c r="D23" s="301"/>
      <c r="E23" s="212" t="s">
        <v>89</v>
      </c>
      <c r="F23" s="213" t="s">
        <v>88</v>
      </c>
      <c r="G23" s="214" t="s">
        <v>92</v>
      </c>
      <c r="H23" s="302"/>
      <c r="I23" s="140"/>
      <c r="J23" s="300"/>
      <c r="K23" s="300"/>
      <c r="S23" s="179" t="s">
        <v>70</v>
      </c>
    </row>
    <row r="24" spans="2:20" x14ac:dyDescent="0.2">
      <c r="B24" s="107" t="s">
        <v>1</v>
      </c>
      <c r="C24" s="167">
        <v>33184</v>
      </c>
      <c r="D24" s="168">
        <f t="shared" ref="D24:D30" si="8">+C24-C8</f>
        <v>868</v>
      </c>
      <c r="E24" s="149">
        <f>D24*$N$10</f>
        <v>677.04000000000008</v>
      </c>
      <c r="F24" s="206">
        <f>($C24-$D24)*($N$10-$N$9)</f>
        <v>3231.5999999999995</v>
      </c>
      <c r="G24" s="211">
        <f>SUM(E24:F24)</f>
        <v>3908.6399999999994</v>
      </c>
      <c r="H24" s="220">
        <f>ROUND(C24*$N$10,0)</f>
        <v>25884</v>
      </c>
      <c r="I24" s="156"/>
      <c r="J24" s="277">
        <v>768557</v>
      </c>
      <c r="K24" s="108">
        <f>J24/H24</f>
        <v>29.692358213568227</v>
      </c>
      <c r="S24" s="149">
        <f>D24*$N$10</f>
        <v>677.04000000000008</v>
      </c>
    </row>
    <row r="25" spans="2:20" x14ac:dyDescent="0.2">
      <c r="B25" s="95" t="s">
        <v>2</v>
      </c>
      <c r="C25" s="169">
        <v>89267</v>
      </c>
      <c r="D25" s="170">
        <f t="shared" si="8"/>
        <v>2774</v>
      </c>
      <c r="E25" s="145">
        <f t="shared" ref="E25:E30" si="9">D25*$N$10</f>
        <v>2163.7200000000003</v>
      </c>
      <c r="F25" s="196">
        <f t="shared" ref="F25:F30" si="10">($C25-$D25)*($N$10-$N$9)</f>
        <v>8649.2999999999975</v>
      </c>
      <c r="G25" s="202">
        <f t="shared" ref="G25:G30" si="11">SUM(E25:F25)</f>
        <v>10813.019999999997</v>
      </c>
      <c r="H25" s="221">
        <f t="shared" ref="H25:H30" si="12">ROUND(C25*$N$10,0)</f>
        <v>69628</v>
      </c>
      <c r="I25" s="156"/>
      <c r="J25" s="278">
        <v>1609964</v>
      </c>
      <c r="K25" s="96">
        <f>J25/H25</f>
        <v>23.122364565979204</v>
      </c>
      <c r="S25" s="145">
        <f t="shared" ref="S25:S30" si="13">D25*$N$10</f>
        <v>2163.7200000000003</v>
      </c>
    </row>
    <row r="26" spans="2:20" x14ac:dyDescent="0.2">
      <c r="B26" s="95" t="s">
        <v>3</v>
      </c>
      <c r="C26" s="169">
        <v>282971</v>
      </c>
      <c r="D26" s="170">
        <f t="shared" si="8"/>
        <v>9763</v>
      </c>
      <c r="E26" s="145">
        <f t="shared" si="9"/>
        <v>7615.14</v>
      </c>
      <c r="F26" s="196">
        <f t="shared" si="10"/>
        <v>27320.799999999996</v>
      </c>
      <c r="G26" s="202">
        <f t="shared" si="11"/>
        <v>34935.939999999995</v>
      </c>
      <c r="H26" s="221">
        <f t="shared" si="12"/>
        <v>220717</v>
      </c>
      <c r="I26" s="156"/>
      <c r="J26" s="278">
        <v>5695907</v>
      </c>
      <c r="K26" s="96">
        <f t="shared" ref="K26:K31" si="14">J26/H26</f>
        <v>25.806381021851511</v>
      </c>
      <c r="S26" s="145">
        <f t="shared" si="13"/>
        <v>7615.14</v>
      </c>
    </row>
    <row r="27" spans="2:20" x14ac:dyDescent="0.2">
      <c r="B27" s="95" t="s">
        <v>4</v>
      </c>
      <c r="C27" s="169">
        <v>1183</v>
      </c>
      <c r="D27" s="170">
        <f t="shared" si="8"/>
        <v>26</v>
      </c>
      <c r="E27" s="145">
        <f t="shared" si="9"/>
        <v>20.28</v>
      </c>
      <c r="F27" s="196">
        <f t="shared" si="10"/>
        <v>115.69999999999997</v>
      </c>
      <c r="G27" s="202">
        <f t="shared" si="11"/>
        <v>135.97999999999996</v>
      </c>
      <c r="H27" s="221">
        <f t="shared" si="12"/>
        <v>923</v>
      </c>
      <c r="I27" s="156"/>
      <c r="J27" s="278">
        <v>105141</v>
      </c>
      <c r="K27" s="96">
        <f t="shared" si="14"/>
        <v>113.91224268689058</v>
      </c>
      <c r="S27" s="145">
        <f t="shared" si="13"/>
        <v>20.28</v>
      </c>
    </row>
    <row r="28" spans="2:20" x14ac:dyDescent="0.2">
      <c r="B28" s="95" t="s">
        <v>5</v>
      </c>
      <c r="C28" s="169">
        <v>19960</v>
      </c>
      <c r="D28" s="170">
        <f t="shared" si="8"/>
        <v>681</v>
      </c>
      <c r="E28" s="145">
        <f t="shared" si="9"/>
        <v>531.18000000000006</v>
      </c>
      <c r="F28" s="196">
        <f t="shared" si="10"/>
        <v>1927.8999999999996</v>
      </c>
      <c r="G28" s="202">
        <f t="shared" si="11"/>
        <v>2459.08</v>
      </c>
      <c r="H28" s="221">
        <f t="shared" si="12"/>
        <v>15569</v>
      </c>
      <c r="I28" s="156"/>
      <c r="J28" s="278">
        <v>487187</v>
      </c>
      <c r="K28" s="96">
        <f t="shared" si="14"/>
        <v>31.292118954332327</v>
      </c>
      <c r="S28" s="145">
        <f t="shared" si="13"/>
        <v>531.18000000000006</v>
      </c>
    </row>
    <row r="29" spans="2:20" x14ac:dyDescent="0.2">
      <c r="B29" s="95" t="s">
        <v>6</v>
      </c>
      <c r="C29" s="169">
        <v>36901</v>
      </c>
      <c r="D29" s="170">
        <f t="shared" si="8"/>
        <v>1418</v>
      </c>
      <c r="E29" s="145">
        <f t="shared" si="9"/>
        <v>1106.04</v>
      </c>
      <c r="F29" s="196">
        <f t="shared" si="10"/>
        <v>3548.2999999999993</v>
      </c>
      <c r="G29" s="202">
        <f t="shared" si="11"/>
        <v>4654.3399999999992</v>
      </c>
      <c r="H29" s="221">
        <f t="shared" si="12"/>
        <v>28783</v>
      </c>
      <c r="I29" s="156"/>
      <c r="J29" s="278">
        <v>732396</v>
      </c>
      <c r="K29" s="96">
        <f t="shared" si="14"/>
        <v>25.445436542403503</v>
      </c>
      <c r="S29" s="145">
        <f t="shared" si="13"/>
        <v>1106.04</v>
      </c>
    </row>
    <row r="30" spans="2:20" ht="15" thickBot="1" x14ac:dyDescent="0.25">
      <c r="B30" s="101" t="s">
        <v>7</v>
      </c>
      <c r="C30" s="171">
        <v>13834</v>
      </c>
      <c r="D30" s="172">
        <f t="shared" si="8"/>
        <v>683</v>
      </c>
      <c r="E30" s="146">
        <f t="shared" si="9"/>
        <v>532.74</v>
      </c>
      <c r="F30" s="197">
        <f t="shared" si="10"/>
        <v>1315.0999999999997</v>
      </c>
      <c r="G30" s="203">
        <f t="shared" si="11"/>
        <v>1847.8399999999997</v>
      </c>
      <c r="H30" s="222">
        <f t="shared" si="12"/>
        <v>10791</v>
      </c>
      <c r="I30" s="156"/>
      <c r="J30" s="279">
        <v>323907</v>
      </c>
      <c r="K30" s="102">
        <f t="shared" si="14"/>
        <v>30.016402557686963</v>
      </c>
      <c r="S30" s="146">
        <f t="shared" si="13"/>
        <v>532.74</v>
      </c>
    </row>
    <row r="31" spans="2:20" ht="15.75" thickBot="1" x14ac:dyDescent="0.25">
      <c r="B31" s="103" t="s">
        <v>30</v>
      </c>
      <c r="C31" s="173">
        <f t="shared" ref="C31:H31" si="15">SUM(C24:C30)</f>
        <v>477300</v>
      </c>
      <c r="D31" s="174">
        <f t="shared" si="15"/>
        <v>16213</v>
      </c>
      <c r="E31" s="151">
        <f t="shared" si="15"/>
        <v>12646.140000000001</v>
      </c>
      <c r="F31" s="198">
        <f t="shared" si="15"/>
        <v>46108.69999999999</v>
      </c>
      <c r="G31" s="204">
        <f t="shared" si="15"/>
        <v>58754.839999999989</v>
      </c>
      <c r="H31" s="223">
        <f t="shared" si="15"/>
        <v>372295</v>
      </c>
      <c r="I31" s="157"/>
      <c r="J31" s="150">
        <f t="shared" ref="J31" si="16">SUM(J24:J30)</f>
        <v>9723059</v>
      </c>
      <c r="K31" s="105">
        <f t="shared" si="14"/>
        <v>26.116544675593278</v>
      </c>
      <c r="M31" s="45"/>
      <c r="N31" s="280"/>
      <c r="S31" s="151">
        <f>SUM(S24:S30)</f>
        <v>12646.140000000001</v>
      </c>
      <c r="T31" s="45"/>
    </row>
    <row r="32" spans="2:20" ht="5.0999999999999996" customHeight="1" x14ac:dyDescent="0.2">
      <c r="B32" s="93"/>
      <c r="C32" s="93"/>
      <c r="D32" s="93"/>
      <c r="H32" s="125"/>
      <c r="I32" s="93"/>
      <c r="J32" s="93"/>
      <c r="K32" s="93"/>
      <c r="S32" s="93"/>
    </row>
    <row r="33" spans="2:20" ht="15" x14ac:dyDescent="0.2">
      <c r="B33" s="92"/>
      <c r="C33" s="92"/>
      <c r="D33" s="92"/>
      <c r="G33" s="97" t="s">
        <v>85</v>
      </c>
      <c r="H33" s="158">
        <v>370349</v>
      </c>
      <c r="I33" s="92"/>
      <c r="J33" s="92"/>
      <c r="K33" s="92"/>
    </row>
    <row r="34" spans="2:20" ht="15.75" thickBot="1" x14ac:dyDescent="0.25">
      <c r="B34" s="92"/>
      <c r="C34" s="92"/>
      <c r="D34" s="92"/>
      <c r="G34" s="97" t="s">
        <v>60</v>
      </c>
      <c r="H34" s="159">
        <f>H31-H33</f>
        <v>1946</v>
      </c>
      <c r="I34" s="92"/>
      <c r="J34" s="92"/>
      <c r="K34" s="92"/>
    </row>
    <row r="35" spans="2:20" ht="15.75" thickTop="1" x14ac:dyDescent="0.25">
      <c r="B35" s="93"/>
      <c r="C35" s="93"/>
      <c r="D35" s="93"/>
      <c r="E35" s="3"/>
      <c r="H35" s="93"/>
      <c r="I35" s="93"/>
      <c r="J35" s="93"/>
      <c r="K35" s="93"/>
      <c r="S35" s="93"/>
    </row>
    <row r="36" spans="2:20" ht="15.75" x14ac:dyDescent="0.2">
      <c r="B36" s="130" t="s">
        <v>87</v>
      </c>
      <c r="C36" s="126"/>
      <c r="D36" s="126"/>
      <c r="E36" s="127"/>
      <c r="F36" s="127"/>
      <c r="G36" s="127"/>
      <c r="H36" s="231"/>
      <c r="M36" s="126"/>
      <c r="N36" s="126"/>
      <c r="O36" s="131"/>
      <c r="S36" s="127"/>
    </row>
    <row r="37" spans="2:20" ht="15.75" x14ac:dyDescent="0.2">
      <c r="B37" s="132" t="s">
        <v>68</v>
      </c>
      <c r="C37" s="128"/>
      <c r="D37" s="128"/>
      <c r="E37" s="129" t="s">
        <v>67</v>
      </c>
      <c r="F37" s="129"/>
      <c r="G37" s="129"/>
      <c r="H37" s="232"/>
      <c r="M37" s="134"/>
      <c r="N37" s="138" t="s">
        <v>65</v>
      </c>
      <c r="O37" s="133"/>
    </row>
    <row r="38" spans="2:20" ht="15" customHeight="1" x14ac:dyDescent="0.2">
      <c r="B38" s="303" t="s">
        <v>0</v>
      </c>
      <c r="C38" s="305" t="s">
        <v>79</v>
      </c>
      <c r="D38" s="307" t="s">
        <v>90</v>
      </c>
      <c r="E38" s="181" t="s">
        <v>95</v>
      </c>
      <c r="F38" s="182"/>
      <c r="G38" s="183"/>
      <c r="H38" s="309" t="s">
        <v>105</v>
      </c>
      <c r="M38" s="135"/>
      <c r="N38" s="306" t="s">
        <v>111</v>
      </c>
      <c r="O38" s="306" t="s">
        <v>53</v>
      </c>
    </row>
    <row r="39" spans="2:20" ht="45" customHeight="1" x14ac:dyDescent="0.2">
      <c r="B39" s="304"/>
      <c r="C39" s="306"/>
      <c r="D39" s="308"/>
      <c r="E39" s="184" t="s">
        <v>89</v>
      </c>
      <c r="F39" s="185" t="s">
        <v>88</v>
      </c>
      <c r="G39" s="205" t="s">
        <v>92</v>
      </c>
      <c r="H39" s="310"/>
      <c r="M39" s="135"/>
      <c r="N39" s="306"/>
      <c r="O39" s="306"/>
      <c r="S39" s="180" t="s">
        <v>86</v>
      </c>
    </row>
    <row r="40" spans="2:20" x14ac:dyDescent="0.2">
      <c r="B40" s="107" t="s">
        <v>1</v>
      </c>
      <c r="C40" s="272">
        <v>34141</v>
      </c>
      <c r="D40" s="168">
        <f t="shared" ref="D40:D46" si="17">+C40-C24</f>
        <v>957</v>
      </c>
      <c r="E40" s="149">
        <f>D40*$N$11</f>
        <v>861.30000000000007</v>
      </c>
      <c r="F40" s="206">
        <f>$C24*($N$11-$N$10)</f>
        <v>3982.08</v>
      </c>
      <c r="G40" s="207">
        <f>SUM(E40:F40)</f>
        <v>4843.38</v>
      </c>
      <c r="H40" s="163">
        <f>ROUND(C40*$N$11,0)</f>
        <v>30727</v>
      </c>
      <c r="M40" s="93"/>
      <c r="N40" s="277">
        <f t="shared" ref="N40:N46" si="18">H40*K24</f>
        <v>912357.09082831093</v>
      </c>
      <c r="O40" s="108">
        <f t="shared" ref="O40:O47" si="19">N40/H40</f>
        <v>29.692358213568227</v>
      </c>
      <c r="S40" s="149">
        <f>+D40*$N$11</f>
        <v>861.30000000000007</v>
      </c>
    </row>
    <row r="41" spans="2:20" x14ac:dyDescent="0.2">
      <c r="B41" s="95" t="s">
        <v>2</v>
      </c>
      <c r="C41" s="273">
        <v>92277</v>
      </c>
      <c r="D41" s="170">
        <f t="shared" si="17"/>
        <v>3010</v>
      </c>
      <c r="E41" s="145">
        <f t="shared" ref="E41:E46" si="20">D41*$N$11</f>
        <v>2709</v>
      </c>
      <c r="F41" s="196">
        <f t="shared" ref="F41:F46" si="21">$C25*($N$11-$N$10)</f>
        <v>10712.039999999999</v>
      </c>
      <c r="G41" s="208">
        <f t="shared" ref="G41:G46" si="22">SUM(E41:F41)</f>
        <v>13421.039999999999</v>
      </c>
      <c r="H41" s="160">
        <f t="shared" ref="H41:H46" si="23">ROUND(C41*$N$11,0)</f>
        <v>83049</v>
      </c>
      <c r="M41" s="93"/>
      <c r="N41" s="281">
        <f t="shared" si="18"/>
        <v>1920289.2548400068</v>
      </c>
      <c r="O41" s="96">
        <f t="shared" si="19"/>
        <v>23.122364565979204</v>
      </c>
      <c r="S41" s="145">
        <f t="shared" ref="S41:S46" si="24">+D41*$N$11</f>
        <v>2709</v>
      </c>
    </row>
    <row r="42" spans="2:20" x14ac:dyDescent="0.2">
      <c r="B42" s="95" t="s">
        <v>3</v>
      </c>
      <c r="C42" s="273">
        <v>293171</v>
      </c>
      <c r="D42" s="170">
        <f t="shared" si="17"/>
        <v>10200</v>
      </c>
      <c r="E42" s="145">
        <f t="shared" si="20"/>
        <v>9180</v>
      </c>
      <c r="F42" s="196">
        <f t="shared" si="21"/>
        <v>33956.519999999997</v>
      </c>
      <c r="G42" s="208">
        <f t="shared" si="22"/>
        <v>43136.52</v>
      </c>
      <c r="H42" s="160">
        <f t="shared" si="23"/>
        <v>263854</v>
      </c>
      <c r="M42" s="93"/>
      <c r="N42" s="281">
        <f t="shared" si="18"/>
        <v>6809116.858139609</v>
      </c>
      <c r="O42" s="96">
        <f t="shared" si="19"/>
        <v>25.806381021851511</v>
      </c>
      <c r="S42" s="145">
        <f t="shared" si="24"/>
        <v>9180</v>
      </c>
    </row>
    <row r="43" spans="2:20" x14ac:dyDescent="0.2">
      <c r="B43" s="95" t="s">
        <v>4</v>
      </c>
      <c r="C43" s="273">
        <v>1213</v>
      </c>
      <c r="D43" s="170">
        <f t="shared" si="17"/>
        <v>30</v>
      </c>
      <c r="E43" s="145">
        <f t="shared" si="20"/>
        <v>27</v>
      </c>
      <c r="F43" s="196">
        <f t="shared" si="21"/>
        <v>141.96</v>
      </c>
      <c r="G43" s="208">
        <f t="shared" si="22"/>
        <v>168.96</v>
      </c>
      <c r="H43" s="160">
        <f t="shared" si="23"/>
        <v>1092</v>
      </c>
      <c r="M43" s="93"/>
      <c r="N43" s="281">
        <f t="shared" si="18"/>
        <v>124392.16901408452</v>
      </c>
      <c r="O43" s="96">
        <f t="shared" si="19"/>
        <v>113.91224268689058</v>
      </c>
      <c r="S43" s="145">
        <f t="shared" si="24"/>
        <v>27</v>
      </c>
    </row>
    <row r="44" spans="2:20" x14ac:dyDescent="0.2">
      <c r="B44" s="95" t="s">
        <v>5</v>
      </c>
      <c r="C44" s="273">
        <v>20669</v>
      </c>
      <c r="D44" s="170">
        <f t="shared" si="17"/>
        <v>709</v>
      </c>
      <c r="E44" s="145">
        <f t="shared" si="20"/>
        <v>638.1</v>
      </c>
      <c r="F44" s="196">
        <f t="shared" si="21"/>
        <v>2395.1999999999998</v>
      </c>
      <c r="G44" s="208">
        <f t="shared" si="22"/>
        <v>3033.2999999999997</v>
      </c>
      <c r="H44" s="160">
        <f t="shared" si="23"/>
        <v>18602</v>
      </c>
      <c r="M44" s="93"/>
      <c r="N44" s="281">
        <f t="shared" si="18"/>
        <v>582095.99678848998</v>
      </c>
      <c r="O44" s="96">
        <f t="shared" si="19"/>
        <v>31.292118954332327</v>
      </c>
      <c r="S44" s="145">
        <f t="shared" si="24"/>
        <v>638.1</v>
      </c>
    </row>
    <row r="45" spans="2:20" x14ac:dyDescent="0.2">
      <c r="B45" s="95" t="s">
        <v>6</v>
      </c>
      <c r="C45" s="273">
        <v>38448</v>
      </c>
      <c r="D45" s="170">
        <f t="shared" si="17"/>
        <v>1547</v>
      </c>
      <c r="E45" s="145">
        <f t="shared" si="20"/>
        <v>1392.3</v>
      </c>
      <c r="F45" s="196">
        <f t="shared" si="21"/>
        <v>4428.12</v>
      </c>
      <c r="G45" s="208">
        <f t="shared" si="22"/>
        <v>5820.42</v>
      </c>
      <c r="H45" s="160">
        <f t="shared" si="23"/>
        <v>34603</v>
      </c>
      <c r="M45" s="93"/>
      <c r="N45" s="281">
        <f t="shared" si="18"/>
        <v>880488.44067678845</v>
      </c>
      <c r="O45" s="96">
        <f t="shared" si="19"/>
        <v>25.445436542403503</v>
      </c>
      <c r="S45" s="145">
        <f t="shared" si="24"/>
        <v>1392.3</v>
      </c>
    </row>
    <row r="46" spans="2:20" ht="15" thickBot="1" x14ac:dyDescent="0.25">
      <c r="B46" s="101" t="s">
        <v>7</v>
      </c>
      <c r="C46" s="274">
        <v>14556</v>
      </c>
      <c r="D46" s="172">
        <f t="shared" si="17"/>
        <v>722</v>
      </c>
      <c r="E46" s="146">
        <f t="shared" si="20"/>
        <v>649.80000000000007</v>
      </c>
      <c r="F46" s="197">
        <f t="shared" si="21"/>
        <v>1660.08</v>
      </c>
      <c r="G46" s="209">
        <f t="shared" si="22"/>
        <v>2309.88</v>
      </c>
      <c r="H46" s="161">
        <f t="shared" si="23"/>
        <v>13100</v>
      </c>
      <c r="M46" s="93"/>
      <c r="N46" s="282">
        <f t="shared" si="18"/>
        <v>393214.87350569922</v>
      </c>
      <c r="O46" s="102">
        <f t="shared" si="19"/>
        <v>30.016402557686963</v>
      </c>
      <c r="S46" s="146">
        <f t="shared" si="24"/>
        <v>649.80000000000007</v>
      </c>
    </row>
    <row r="47" spans="2:20" ht="15.75" thickBot="1" x14ac:dyDescent="0.25">
      <c r="B47" s="103" t="s">
        <v>30</v>
      </c>
      <c r="C47" s="173">
        <f t="shared" ref="C47:H47" si="25">SUM(C40:C46)</f>
        <v>494475</v>
      </c>
      <c r="D47" s="174">
        <f t="shared" si="25"/>
        <v>17175</v>
      </c>
      <c r="E47" s="151">
        <f t="shared" si="25"/>
        <v>15457.499999999998</v>
      </c>
      <c r="F47" s="198">
        <f t="shared" si="25"/>
        <v>57276</v>
      </c>
      <c r="G47" s="210">
        <f t="shared" si="25"/>
        <v>72733.5</v>
      </c>
      <c r="H47" s="164">
        <f t="shared" si="25"/>
        <v>445027</v>
      </c>
      <c r="M47" s="139"/>
      <c r="N47" s="104">
        <f t="shared" ref="N47" si="26">SUM(N40:N46)</f>
        <v>11621954.68379299</v>
      </c>
      <c r="O47" s="105">
        <f t="shared" si="19"/>
        <v>26.1151675826253</v>
      </c>
      <c r="S47" s="151">
        <f>SUM(S40:S46)</f>
        <v>15457.499999999998</v>
      </c>
      <c r="T47" s="45"/>
    </row>
    <row r="48" spans="2:20" ht="5.0999999999999996" customHeight="1" x14ac:dyDescent="0.2">
      <c r="B48" s="93"/>
      <c r="C48" s="93"/>
      <c r="D48" s="93"/>
      <c r="H48" s="162"/>
      <c r="I48" s="93"/>
      <c r="J48" s="93"/>
      <c r="K48" s="93"/>
      <c r="S48" s="93"/>
    </row>
    <row r="49" spans="2:19" ht="15" x14ac:dyDescent="0.2">
      <c r="B49" s="92"/>
      <c r="C49" s="92"/>
      <c r="D49" s="92"/>
      <c r="G49" s="97" t="s">
        <v>93</v>
      </c>
      <c r="H49" s="229">
        <f>H33+(H33*P11)</f>
        <v>442677.48402925971</v>
      </c>
      <c r="I49" s="92"/>
      <c r="J49" s="92"/>
      <c r="K49" s="92"/>
    </row>
    <row r="50" spans="2:19" ht="15.75" thickBot="1" x14ac:dyDescent="0.25">
      <c r="B50" s="92"/>
      <c r="C50" s="92"/>
      <c r="D50" s="92"/>
      <c r="G50" s="97" t="s">
        <v>94</v>
      </c>
      <c r="H50" s="165">
        <f>H47-H49</f>
        <v>2349.5159707402927</v>
      </c>
      <c r="I50" s="92"/>
      <c r="J50" s="92"/>
      <c r="K50" s="92"/>
    </row>
    <row r="51" spans="2:19" ht="15.75" thickTop="1" x14ac:dyDescent="0.2">
      <c r="B51" s="92"/>
      <c r="C51" s="92"/>
      <c r="D51" s="92"/>
      <c r="H51" s="92"/>
      <c r="I51" s="92"/>
      <c r="J51" s="92"/>
      <c r="K51" s="92"/>
      <c r="S51" s="92"/>
    </row>
    <row r="52" spans="2:19" x14ac:dyDescent="0.2">
      <c r="B52" s="93"/>
      <c r="C52" s="93"/>
      <c r="D52" s="93"/>
      <c r="H52" s="93"/>
      <c r="I52" s="93"/>
      <c r="J52" s="93"/>
      <c r="K52" s="93"/>
      <c r="S52" s="93"/>
    </row>
    <row r="53" spans="2:19" x14ac:dyDescent="0.2">
      <c r="B53" s="93"/>
      <c r="C53" s="93"/>
      <c r="D53" s="93"/>
      <c r="H53" s="166"/>
      <c r="I53" s="93"/>
      <c r="J53" s="93"/>
      <c r="K53" s="93"/>
      <c r="S53" s="93"/>
    </row>
    <row r="54" spans="2:19" x14ac:dyDescent="0.2">
      <c r="B54" s="98"/>
      <c r="D54" s="89"/>
      <c r="H54" s="283"/>
      <c r="I54" s="98"/>
      <c r="J54" s="98"/>
      <c r="K54" s="219"/>
      <c r="S54" s="98"/>
    </row>
  </sheetData>
  <mergeCells count="18">
    <mergeCell ref="O38:O39"/>
    <mergeCell ref="B22:B23"/>
    <mergeCell ref="C22:C23"/>
    <mergeCell ref="D22:D23"/>
    <mergeCell ref="H22:H23"/>
    <mergeCell ref="J22:J23"/>
    <mergeCell ref="K22:K23"/>
    <mergeCell ref="B38:B39"/>
    <mergeCell ref="C38:C39"/>
    <mergeCell ref="D38:D39"/>
    <mergeCell ref="H38:H39"/>
    <mergeCell ref="N38:N39"/>
    <mergeCell ref="K6:K7"/>
    <mergeCell ref="B6:B7"/>
    <mergeCell ref="C6:C7"/>
    <mergeCell ref="D6:D7"/>
    <mergeCell ref="H6:H7"/>
    <mergeCell ref="J6:J7"/>
  </mergeCells>
  <printOptions horizontalCentered="1" verticalCentered="1"/>
  <pageMargins left="0.7" right="0.7" top="0.4" bottom="0.25" header="0.25" footer="0.2"/>
  <pageSetup scale="71" orientation="landscape" r:id="rId1"/>
  <headerFooter>
    <oddHeader>&amp;L&amp;"Arial,Bold"Attachment 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30"/>
  <sheetViews>
    <sheetView zoomScale="75" zoomScaleNormal="75" workbookViewId="0">
      <selection activeCell="G2" sqref="G2"/>
    </sheetView>
  </sheetViews>
  <sheetFormatPr defaultColWidth="7.75" defaultRowHeight="12.75" x14ac:dyDescent="0.2"/>
  <cols>
    <col min="1" max="1" width="20.5" style="6" customWidth="1"/>
    <col min="2" max="3" width="23.625" style="6" customWidth="1"/>
    <col min="4" max="4" width="1.625" style="12" customWidth="1"/>
    <col min="5" max="5" width="23.75" style="6" customWidth="1"/>
    <col min="6" max="6" width="23.625" style="6" customWidth="1"/>
    <col min="7" max="7" width="12.5" style="12" customWidth="1"/>
    <col min="8" max="257" width="7.75" style="6"/>
    <col min="258" max="258" width="20.5" style="6" customWidth="1"/>
    <col min="259" max="259" width="21.5" style="6" customWidth="1"/>
    <col min="260" max="261" width="28.5" style="6" customWidth="1"/>
    <col min="262" max="262" width="27" style="6" customWidth="1"/>
    <col min="263" max="263" width="12.5" style="6" customWidth="1"/>
    <col min="264" max="513" width="7.75" style="6"/>
    <col min="514" max="514" width="20.5" style="6" customWidth="1"/>
    <col min="515" max="515" width="21.5" style="6" customWidth="1"/>
    <col min="516" max="517" width="28.5" style="6" customWidth="1"/>
    <col min="518" max="518" width="27" style="6" customWidth="1"/>
    <col min="519" max="519" width="12.5" style="6" customWidth="1"/>
    <col min="520" max="769" width="7.75" style="6"/>
    <col min="770" max="770" width="20.5" style="6" customWidth="1"/>
    <col min="771" max="771" width="21.5" style="6" customWidth="1"/>
    <col min="772" max="773" width="28.5" style="6" customWidth="1"/>
    <col min="774" max="774" width="27" style="6" customWidth="1"/>
    <col min="775" max="775" width="12.5" style="6" customWidth="1"/>
    <col min="776" max="1025" width="7.75" style="6"/>
    <col min="1026" max="1026" width="20.5" style="6" customWidth="1"/>
    <col min="1027" max="1027" width="21.5" style="6" customWidth="1"/>
    <col min="1028" max="1029" width="28.5" style="6" customWidth="1"/>
    <col min="1030" max="1030" width="27" style="6" customWidth="1"/>
    <col min="1031" max="1031" width="12.5" style="6" customWidth="1"/>
    <col min="1032" max="1281" width="7.75" style="6"/>
    <col min="1282" max="1282" width="20.5" style="6" customWidth="1"/>
    <col min="1283" max="1283" width="21.5" style="6" customWidth="1"/>
    <col min="1284" max="1285" width="28.5" style="6" customWidth="1"/>
    <col min="1286" max="1286" width="27" style="6" customWidth="1"/>
    <col min="1287" max="1287" width="12.5" style="6" customWidth="1"/>
    <col min="1288" max="1537" width="7.75" style="6"/>
    <col min="1538" max="1538" width="20.5" style="6" customWidth="1"/>
    <col min="1539" max="1539" width="21.5" style="6" customWidth="1"/>
    <col min="1540" max="1541" width="28.5" style="6" customWidth="1"/>
    <col min="1542" max="1542" width="27" style="6" customWidth="1"/>
    <col min="1543" max="1543" width="12.5" style="6" customWidth="1"/>
    <col min="1544" max="1793" width="7.75" style="6"/>
    <col min="1794" max="1794" width="20.5" style="6" customWidth="1"/>
    <col min="1795" max="1795" width="21.5" style="6" customWidth="1"/>
    <col min="1796" max="1797" width="28.5" style="6" customWidth="1"/>
    <col min="1798" max="1798" width="27" style="6" customWidth="1"/>
    <col min="1799" max="1799" width="12.5" style="6" customWidth="1"/>
    <col min="1800" max="2049" width="7.75" style="6"/>
    <col min="2050" max="2050" width="20.5" style="6" customWidth="1"/>
    <col min="2051" max="2051" width="21.5" style="6" customWidth="1"/>
    <col min="2052" max="2053" width="28.5" style="6" customWidth="1"/>
    <col min="2054" max="2054" width="27" style="6" customWidth="1"/>
    <col min="2055" max="2055" width="12.5" style="6" customWidth="1"/>
    <col min="2056" max="2305" width="7.75" style="6"/>
    <col min="2306" max="2306" width="20.5" style="6" customWidth="1"/>
    <col min="2307" max="2307" width="21.5" style="6" customWidth="1"/>
    <col min="2308" max="2309" width="28.5" style="6" customWidth="1"/>
    <col min="2310" max="2310" width="27" style="6" customWidth="1"/>
    <col min="2311" max="2311" width="12.5" style="6" customWidth="1"/>
    <col min="2312" max="2561" width="7.75" style="6"/>
    <col min="2562" max="2562" width="20.5" style="6" customWidth="1"/>
    <col min="2563" max="2563" width="21.5" style="6" customWidth="1"/>
    <col min="2564" max="2565" width="28.5" style="6" customWidth="1"/>
    <col min="2566" max="2566" width="27" style="6" customWidth="1"/>
    <col min="2567" max="2567" width="12.5" style="6" customWidth="1"/>
    <col min="2568" max="2817" width="7.75" style="6"/>
    <col min="2818" max="2818" width="20.5" style="6" customWidth="1"/>
    <col min="2819" max="2819" width="21.5" style="6" customWidth="1"/>
    <col min="2820" max="2821" width="28.5" style="6" customWidth="1"/>
    <col min="2822" max="2822" width="27" style="6" customWidth="1"/>
    <col min="2823" max="2823" width="12.5" style="6" customWidth="1"/>
    <col min="2824" max="3073" width="7.75" style="6"/>
    <col min="3074" max="3074" width="20.5" style="6" customWidth="1"/>
    <col min="3075" max="3075" width="21.5" style="6" customWidth="1"/>
    <col min="3076" max="3077" width="28.5" style="6" customWidth="1"/>
    <col min="3078" max="3078" width="27" style="6" customWidth="1"/>
    <col min="3079" max="3079" width="12.5" style="6" customWidth="1"/>
    <col min="3080" max="3329" width="7.75" style="6"/>
    <col min="3330" max="3330" width="20.5" style="6" customWidth="1"/>
    <col min="3331" max="3331" width="21.5" style="6" customWidth="1"/>
    <col min="3332" max="3333" width="28.5" style="6" customWidth="1"/>
    <col min="3334" max="3334" width="27" style="6" customWidth="1"/>
    <col min="3335" max="3335" width="12.5" style="6" customWidth="1"/>
    <col min="3336" max="3585" width="7.75" style="6"/>
    <col min="3586" max="3586" width="20.5" style="6" customWidth="1"/>
    <col min="3587" max="3587" width="21.5" style="6" customWidth="1"/>
    <col min="3588" max="3589" width="28.5" style="6" customWidth="1"/>
    <col min="3590" max="3590" width="27" style="6" customWidth="1"/>
    <col min="3591" max="3591" width="12.5" style="6" customWidth="1"/>
    <col min="3592" max="3841" width="7.75" style="6"/>
    <col min="3842" max="3842" width="20.5" style="6" customWidth="1"/>
    <col min="3843" max="3843" width="21.5" style="6" customWidth="1"/>
    <col min="3844" max="3845" width="28.5" style="6" customWidth="1"/>
    <col min="3846" max="3846" width="27" style="6" customWidth="1"/>
    <col min="3847" max="3847" width="12.5" style="6" customWidth="1"/>
    <col min="3848" max="4097" width="7.75" style="6"/>
    <col min="4098" max="4098" width="20.5" style="6" customWidth="1"/>
    <col min="4099" max="4099" width="21.5" style="6" customWidth="1"/>
    <col min="4100" max="4101" width="28.5" style="6" customWidth="1"/>
    <col min="4102" max="4102" width="27" style="6" customWidth="1"/>
    <col min="4103" max="4103" width="12.5" style="6" customWidth="1"/>
    <col min="4104" max="4353" width="7.75" style="6"/>
    <col min="4354" max="4354" width="20.5" style="6" customWidth="1"/>
    <col min="4355" max="4355" width="21.5" style="6" customWidth="1"/>
    <col min="4356" max="4357" width="28.5" style="6" customWidth="1"/>
    <col min="4358" max="4358" width="27" style="6" customWidth="1"/>
    <col min="4359" max="4359" width="12.5" style="6" customWidth="1"/>
    <col min="4360" max="4609" width="7.75" style="6"/>
    <col min="4610" max="4610" width="20.5" style="6" customWidth="1"/>
    <col min="4611" max="4611" width="21.5" style="6" customWidth="1"/>
    <col min="4612" max="4613" width="28.5" style="6" customWidth="1"/>
    <col min="4614" max="4614" width="27" style="6" customWidth="1"/>
    <col min="4615" max="4615" width="12.5" style="6" customWidth="1"/>
    <col min="4616" max="4865" width="7.75" style="6"/>
    <col min="4866" max="4866" width="20.5" style="6" customWidth="1"/>
    <col min="4867" max="4867" width="21.5" style="6" customWidth="1"/>
    <col min="4868" max="4869" width="28.5" style="6" customWidth="1"/>
    <col min="4870" max="4870" width="27" style="6" customWidth="1"/>
    <col min="4871" max="4871" width="12.5" style="6" customWidth="1"/>
    <col min="4872" max="5121" width="7.75" style="6"/>
    <col min="5122" max="5122" width="20.5" style="6" customWidth="1"/>
    <col min="5123" max="5123" width="21.5" style="6" customWidth="1"/>
    <col min="5124" max="5125" width="28.5" style="6" customWidth="1"/>
    <col min="5126" max="5126" width="27" style="6" customWidth="1"/>
    <col min="5127" max="5127" width="12.5" style="6" customWidth="1"/>
    <col min="5128" max="5377" width="7.75" style="6"/>
    <col min="5378" max="5378" width="20.5" style="6" customWidth="1"/>
    <col min="5379" max="5379" width="21.5" style="6" customWidth="1"/>
    <col min="5380" max="5381" width="28.5" style="6" customWidth="1"/>
    <col min="5382" max="5382" width="27" style="6" customWidth="1"/>
    <col min="5383" max="5383" width="12.5" style="6" customWidth="1"/>
    <col min="5384" max="5633" width="7.75" style="6"/>
    <col min="5634" max="5634" width="20.5" style="6" customWidth="1"/>
    <col min="5635" max="5635" width="21.5" style="6" customWidth="1"/>
    <col min="5636" max="5637" width="28.5" style="6" customWidth="1"/>
    <col min="5638" max="5638" width="27" style="6" customWidth="1"/>
    <col min="5639" max="5639" width="12.5" style="6" customWidth="1"/>
    <col min="5640" max="5889" width="7.75" style="6"/>
    <col min="5890" max="5890" width="20.5" style="6" customWidth="1"/>
    <col min="5891" max="5891" width="21.5" style="6" customWidth="1"/>
    <col min="5892" max="5893" width="28.5" style="6" customWidth="1"/>
    <col min="5894" max="5894" width="27" style="6" customWidth="1"/>
    <col min="5895" max="5895" width="12.5" style="6" customWidth="1"/>
    <col min="5896" max="6145" width="7.75" style="6"/>
    <col min="6146" max="6146" width="20.5" style="6" customWidth="1"/>
    <col min="6147" max="6147" width="21.5" style="6" customWidth="1"/>
    <col min="6148" max="6149" width="28.5" style="6" customWidth="1"/>
    <col min="6150" max="6150" width="27" style="6" customWidth="1"/>
    <col min="6151" max="6151" width="12.5" style="6" customWidth="1"/>
    <col min="6152" max="6401" width="7.75" style="6"/>
    <col min="6402" max="6402" width="20.5" style="6" customWidth="1"/>
    <col min="6403" max="6403" width="21.5" style="6" customWidth="1"/>
    <col min="6404" max="6405" width="28.5" style="6" customWidth="1"/>
    <col min="6406" max="6406" width="27" style="6" customWidth="1"/>
    <col min="6407" max="6407" width="12.5" style="6" customWidth="1"/>
    <col min="6408" max="6657" width="7.75" style="6"/>
    <col min="6658" max="6658" width="20.5" style="6" customWidth="1"/>
    <col min="6659" max="6659" width="21.5" style="6" customWidth="1"/>
    <col min="6660" max="6661" width="28.5" style="6" customWidth="1"/>
    <col min="6662" max="6662" width="27" style="6" customWidth="1"/>
    <col min="6663" max="6663" width="12.5" style="6" customWidth="1"/>
    <col min="6664" max="6913" width="7.75" style="6"/>
    <col min="6914" max="6914" width="20.5" style="6" customWidth="1"/>
    <col min="6915" max="6915" width="21.5" style="6" customWidth="1"/>
    <col min="6916" max="6917" width="28.5" style="6" customWidth="1"/>
    <col min="6918" max="6918" width="27" style="6" customWidth="1"/>
    <col min="6919" max="6919" width="12.5" style="6" customWidth="1"/>
    <col min="6920" max="7169" width="7.75" style="6"/>
    <col min="7170" max="7170" width="20.5" style="6" customWidth="1"/>
    <col min="7171" max="7171" width="21.5" style="6" customWidth="1"/>
    <col min="7172" max="7173" width="28.5" style="6" customWidth="1"/>
    <col min="7174" max="7174" width="27" style="6" customWidth="1"/>
    <col min="7175" max="7175" width="12.5" style="6" customWidth="1"/>
    <col min="7176" max="7425" width="7.75" style="6"/>
    <col min="7426" max="7426" width="20.5" style="6" customWidth="1"/>
    <col min="7427" max="7427" width="21.5" style="6" customWidth="1"/>
    <col min="7428" max="7429" width="28.5" style="6" customWidth="1"/>
    <col min="7430" max="7430" width="27" style="6" customWidth="1"/>
    <col min="7431" max="7431" width="12.5" style="6" customWidth="1"/>
    <col min="7432" max="7681" width="7.75" style="6"/>
    <col min="7682" max="7682" width="20.5" style="6" customWidth="1"/>
    <col min="7683" max="7683" width="21.5" style="6" customWidth="1"/>
    <col min="7684" max="7685" width="28.5" style="6" customWidth="1"/>
    <col min="7686" max="7686" width="27" style="6" customWidth="1"/>
    <col min="7687" max="7687" width="12.5" style="6" customWidth="1"/>
    <col min="7688" max="7937" width="7.75" style="6"/>
    <col min="7938" max="7938" width="20.5" style="6" customWidth="1"/>
    <col min="7939" max="7939" width="21.5" style="6" customWidth="1"/>
    <col min="7940" max="7941" width="28.5" style="6" customWidth="1"/>
    <col min="7942" max="7942" width="27" style="6" customWidth="1"/>
    <col min="7943" max="7943" width="12.5" style="6" customWidth="1"/>
    <col min="7944" max="8193" width="7.75" style="6"/>
    <col min="8194" max="8194" width="20.5" style="6" customWidth="1"/>
    <col min="8195" max="8195" width="21.5" style="6" customWidth="1"/>
    <col min="8196" max="8197" width="28.5" style="6" customWidth="1"/>
    <col min="8198" max="8198" width="27" style="6" customWidth="1"/>
    <col min="8199" max="8199" width="12.5" style="6" customWidth="1"/>
    <col min="8200" max="8449" width="7.75" style="6"/>
    <col min="8450" max="8450" width="20.5" style="6" customWidth="1"/>
    <col min="8451" max="8451" width="21.5" style="6" customWidth="1"/>
    <col min="8452" max="8453" width="28.5" style="6" customWidth="1"/>
    <col min="8454" max="8454" width="27" style="6" customWidth="1"/>
    <col min="8455" max="8455" width="12.5" style="6" customWidth="1"/>
    <col min="8456" max="8705" width="7.75" style="6"/>
    <col min="8706" max="8706" width="20.5" style="6" customWidth="1"/>
    <col min="8707" max="8707" width="21.5" style="6" customWidth="1"/>
    <col min="8708" max="8709" width="28.5" style="6" customWidth="1"/>
    <col min="8710" max="8710" width="27" style="6" customWidth="1"/>
    <col min="8711" max="8711" width="12.5" style="6" customWidth="1"/>
    <col min="8712" max="8961" width="7.75" style="6"/>
    <col min="8962" max="8962" width="20.5" style="6" customWidth="1"/>
    <col min="8963" max="8963" width="21.5" style="6" customWidth="1"/>
    <col min="8964" max="8965" width="28.5" style="6" customWidth="1"/>
    <col min="8966" max="8966" width="27" style="6" customWidth="1"/>
    <col min="8967" max="8967" width="12.5" style="6" customWidth="1"/>
    <col min="8968" max="9217" width="7.75" style="6"/>
    <col min="9218" max="9218" width="20.5" style="6" customWidth="1"/>
    <col min="9219" max="9219" width="21.5" style="6" customWidth="1"/>
    <col min="9220" max="9221" width="28.5" style="6" customWidth="1"/>
    <col min="9222" max="9222" width="27" style="6" customWidth="1"/>
    <col min="9223" max="9223" width="12.5" style="6" customWidth="1"/>
    <col min="9224" max="9473" width="7.75" style="6"/>
    <col min="9474" max="9474" width="20.5" style="6" customWidth="1"/>
    <col min="9475" max="9475" width="21.5" style="6" customWidth="1"/>
    <col min="9476" max="9477" width="28.5" style="6" customWidth="1"/>
    <col min="9478" max="9478" width="27" style="6" customWidth="1"/>
    <col min="9479" max="9479" width="12.5" style="6" customWidth="1"/>
    <col min="9480" max="9729" width="7.75" style="6"/>
    <col min="9730" max="9730" width="20.5" style="6" customWidth="1"/>
    <col min="9731" max="9731" width="21.5" style="6" customWidth="1"/>
    <col min="9732" max="9733" width="28.5" style="6" customWidth="1"/>
    <col min="9734" max="9734" width="27" style="6" customWidth="1"/>
    <col min="9735" max="9735" width="12.5" style="6" customWidth="1"/>
    <col min="9736" max="9985" width="7.75" style="6"/>
    <col min="9986" max="9986" width="20.5" style="6" customWidth="1"/>
    <col min="9987" max="9987" width="21.5" style="6" customWidth="1"/>
    <col min="9988" max="9989" width="28.5" style="6" customWidth="1"/>
    <col min="9990" max="9990" width="27" style="6" customWidth="1"/>
    <col min="9991" max="9991" width="12.5" style="6" customWidth="1"/>
    <col min="9992" max="10241" width="7.75" style="6"/>
    <col min="10242" max="10242" width="20.5" style="6" customWidth="1"/>
    <col min="10243" max="10243" width="21.5" style="6" customWidth="1"/>
    <col min="10244" max="10245" width="28.5" style="6" customWidth="1"/>
    <col min="10246" max="10246" width="27" style="6" customWidth="1"/>
    <col min="10247" max="10247" width="12.5" style="6" customWidth="1"/>
    <col min="10248" max="10497" width="7.75" style="6"/>
    <col min="10498" max="10498" width="20.5" style="6" customWidth="1"/>
    <col min="10499" max="10499" width="21.5" style="6" customWidth="1"/>
    <col min="10500" max="10501" width="28.5" style="6" customWidth="1"/>
    <col min="10502" max="10502" width="27" style="6" customWidth="1"/>
    <col min="10503" max="10503" width="12.5" style="6" customWidth="1"/>
    <col min="10504" max="10753" width="7.75" style="6"/>
    <col min="10754" max="10754" width="20.5" style="6" customWidth="1"/>
    <col min="10755" max="10755" width="21.5" style="6" customWidth="1"/>
    <col min="10756" max="10757" width="28.5" style="6" customWidth="1"/>
    <col min="10758" max="10758" width="27" style="6" customWidth="1"/>
    <col min="10759" max="10759" width="12.5" style="6" customWidth="1"/>
    <col min="10760" max="11009" width="7.75" style="6"/>
    <col min="11010" max="11010" width="20.5" style="6" customWidth="1"/>
    <col min="11011" max="11011" width="21.5" style="6" customWidth="1"/>
    <col min="11012" max="11013" width="28.5" style="6" customWidth="1"/>
    <col min="11014" max="11014" width="27" style="6" customWidth="1"/>
    <col min="11015" max="11015" width="12.5" style="6" customWidth="1"/>
    <col min="11016" max="11265" width="7.75" style="6"/>
    <col min="11266" max="11266" width="20.5" style="6" customWidth="1"/>
    <col min="11267" max="11267" width="21.5" style="6" customWidth="1"/>
    <col min="11268" max="11269" width="28.5" style="6" customWidth="1"/>
    <col min="11270" max="11270" width="27" style="6" customWidth="1"/>
    <col min="11271" max="11271" width="12.5" style="6" customWidth="1"/>
    <col min="11272" max="11521" width="7.75" style="6"/>
    <col min="11522" max="11522" width="20.5" style="6" customWidth="1"/>
    <col min="11523" max="11523" width="21.5" style="6" customWidth="1"/>
    <col min="11524" max="11525" width="28.5" style="6" customWidth="1"/>
    <col min="11526" max="11526" width="27" style="6" customWidth="1"/>
    <col min="11527" max="11527" width="12.5" style="6" customWidth="1"/>
    <col min="11528" max="11777" width="7.75" style="6"/>
    <col min="11778" max="11778" width="20.5" style="6" customWidth="1"/>
    <col min="11779" max="11779" width="21.5" style="6" customWidth="1"/>
    <col min="11780" max="11781" width="28.5" style="6" customWidth="1"/>
    <col min="11782" max="11782" width="27" style="6" customWidth="1"/>
    <col min="11783" max="11783" width="12.5" style="6" customWidth="1"/>
    <col min="11784" max="12033" width="7.75" style="6"/>
    <col min="12034" max="12034" width="20.5" style="6" customWidth="1"/>
    <col min="12035" max="12035" width="21.5" style="6" customWidth="1"/>
    <col min="12036" max="12037" width="28.5" style="6" customWidth="1"/>
    <col min="12038" max="12038" width="27" style="6" customWidth="1"/>
    <col min="12039" max="12039" width="12.5" style="6" customWidth="1"/>
    <col min="12040" max="12289" width="7.75" style="6"/>
    <col min="12290" max="12290" width="20.5" style="6" customWidth="1"/>
    <col min="12291" max="12291" width="21.5" style="6" customWidth="1"/>
    <col min="12292" max="12293" width="28.5" style="6" customWidth="1"/>
    <col min="12294" max="12294" width="27" style="6" customWidth="1"/>
    <col min="12295" max="12295" width="12.5" style="6" customWidth="1"/>
    <col min="12296" max="12545" width="7.75" style="6"/>
    <col min="12546" max="12546" width="20.5" style="6" customWidth="1"/>
    <col min="12547" max="12547" width="21.5" style="6" customWidth="1"/>
    <col min="12548" max="12549" width="28.5" style="6" customWidth="1"/>
    <col min="12550" max="12550" width="27" style="6" customWidth="1"/>
    <col min="12551" max="12551" width="12.5" style="6" customWidth="1"/>
    <col min="12552" max="12801" width="7.75" style="6"/>
    <col min="12802" max="12802" width="20.5" style="6" customWidth="1"/>
    <col min="12803" max="12803" width="21.5" style="6" customWidth="1"/>
    <col min="12804" max="12805" width="28.5" style="6" customWidth="1"/>
    <col min="12806" max="12806" width="27" style="6" customWidth="1"/>
    <col min="12807" max="12807" width="12.5" style="6" customWidth="1"/>
    <col min="12808" max="13057" width="7.75" style="6"/>
    <col min="13058" max="13058" width="20.5" style="6" customWidth="1"/>
    <col min="13059" max="13059" width="21.5" style="6" customWidth="1"/>
    <col min="13060" max="13061" width="28.5" style="6" customWidth="1"/>
    <col min="13062" max="13062" width="27" style="6" customWidth="1"/>
    <col min="13063" max="13063" width="12.5" style="6" customWidth="1"/>
    <col min="13064" max="13313" width="7.75" style="6"/>
    <col min="13314" max="13314" width="20.5" style="6" customWidth="1"/>
    <col min="13315" max="13315" width="21.5" style="6" customWidth="1"/>
    <col min="13316" max="13317" width="28.5" style="6" customWidth="1"/>
    <col min="13318" max="13318" width="27" style="6" customWidth="1"/>
    <col min="13319" max="13319" width="12.5" style="6" customWidth="1"/>
    <col min="13320" max="13569" width="7.75" style="6"/>
    <col min="13570" max="13570" width="20.5" style="6" customWidth="1"/>
    <col min="13571" max="13571" width="21.5" style="6" customWidth="1"/>
    <col min="13572" max="13573" width="28.5" style="6" customWidth="1"/>
    <col min="13574" max="13574" width="27" style="6" customWidth="1"/>
    <col min="13575" max="13575" width="12.5" style="6" customWidth="1"/>
    <col min="13576" max="13825" width="7.75" style="6"/>
    <col min="13826" max="13826" width="20.5" style="6" customWidth="1"/>
    <col min="13827" max="13827" width="21.5" style="6" customWidth="1"/>
    <col min="13828" max="13829" width="28.5" style="6" customWidth="1"/>
    <col min="13830" max="13830" width="27" style="6" customWidth="1"/>
    <col min="13831" max="13831" width="12.5" style="6" customWidth="1"/>
    <col min="13832" max="14081" width="7.75" style="6"/>
    <col min="14082" max="14082" width="20.5" style="6" customWidth="1"/>
    <col min="14083" max="14083" width="21.5" style="6" customWidth="1"/>
    <col min="14084" max="14085" width="28.5" style="6" customWidth="1"/>
    <col min="14086" max="14086" width="27" style="6" customWidth="1"/>
    <col min="14087" max="14087" width="12.5" style="6" customWidth="1"/>
    <col min="14088" max="14337" width="7.75" style="6"/>
    <col min="14338" max="14338" width="20.5" style="6" customWidth="1"/>
    <col min="14339" max="14339" width="21.5" style="6" customWidth="1"/>
    <col min="14340" max="14341" width="28.5" style="6" customWidth="1"/>
    <col min="14342" max="14342" width="27" style="6" customWidth="1"/>
    <col min="14343" max="14343" width="12.5" style="6" customWidth="1"/>
    <col min="14344" max="14593" width="7.75" style="6"/>
    <col min="14594" max="14594" width="20.5" style="6" customWidth="1"/>
    <col min="14595" max="14595" width="21.5" style="6" customWidth="1"/>
    <col min="14596" max="14597" width="28.5" style="6" customWidth="1"/>
    <col min="14598" max="14598" width="27" style="6" customWidth="1"/>
    <col min="14599" max="14599" width="12.5" style="6" customWidth="1"/>
    <col min="14600" max="14849" width="7.75" style="6"/>
    <col min="14850" max="14850" width="20.5" style="6" customWidth="1"/>
    <col min="14851" max="14851" width="21.5" style="6" customWidth="1"/>
    <col min="14852" max="14853" width="28.5" style="6" customWidth="1"/>
    <col min="14854" max="14854" width="27" style="6" customWidth="1"/>
    <col min="14855" max="14855" width="12.5" style="6" customWidth="1"/>
    <col min="14856" max="15105" width="7.75" style="6"/>
    <col min="15106" max="15106" width="20.5" style="6" customWidth="1"/>
    <col min="15107" max="15107" width="21.5" style="6" customWidth="1"/>
    <col min="15108" max="15109" width="28.5" style="6" customWidth="1"/>
    <col min="15110" max="15110" width="27" style="6" customWidth="1"/>
    <col min="15111" max="15111" width="12.5" style="6" customWidth="1"/>
    <col min="15112" max="15361" width="7.75" style="6"/>
    <col min="15362" max="15362" width="20.5" style="6" customWidth="1"/>
    <col min="15363" max="15363" width="21.5" style="6" customWidth="1"/>
    <col min="15364" max="15365" width="28.5" style="6" customWidth="1"/>
    <col min="15366" max="15366" width="27" style="6" customWidth="1"/>
    <col min="15367" max="15367" width="12.5" style="6" customWidth="1"/>
    <col min="15368" max="15617" width="7.75" style="6"/>
    <col min="15618" max="15618" width="20.5" style="6" customWidth="1"/>
    <col min="15619" max="15619" width="21.5" style="6" customWidth="1"/>
    <col min="15620" max="15621" width="28.5" style="6" customWidth="1"/>
    <col min="15622" max="15622" width="27" style="6" customWidth="1"/>
    <col min="15623" max="15623" width="12.5" style="6" customWidth="1"/>
    <col min="15624" max="15873" width="7.75" style="6"/>
    <col min="15874" max="15874" width="20.5" style="6" customWidth="1"/>
    <col min="15875" max="15875" width="21.5" style="6" customWidth="1"/>
    <col min="15876" max="15877" width="28.5" style="6" customWidth="1"/>
    <col min="15878" max="15878" width="27" style="6" customWidth="1"/>
    <col min="15879" max="15879" width="12.5" style="6" customWidth="1"/>
    <col min="15880" max="16129" width="7.75" style="6"/>
    <col min="16130" max="16130" width="20.5" style="6" customWidth="1"/>
    <col min="16131" max="16131" width="21.5" style="6" customWidth="1"/>
    <col min="16132" max="16133" width="28.5" style="6" customWidth="1"/>
    <col min="16134" max="16134" width="27" style="6" customWidth="1"/>
    <col min="16135" max="16135" width="12.5" style="6" customWidth="1"/>
    <col min="16136" max="16384" width="7.75" style="6"/>
  </cols>
  <sheetData>
    <row r="1" spans="1:8" ht="21.75" customHeight="1" x14ac:dyDescent="0.2">
      <c r="A1" s="292" t="s">
        <v>27</v>
      </c>
      <c r="B1" s="292"/>
      <c r="C1" s="292"/>
      <c r="D1" s="292"/>
      <c r="E1" s="292"/>
      <c r="F1" s="292"/>
      <c r="G1" s="5"/>
    </row>
    <row r="2" spans="1:8" ht="21.75" customHeight="1" x14ac:dyDescent="0.2">
      <c r="A2" s="292" t="str">
        <f>Table!B2</f>
        <v>FY 2018-19</v>
      </c>
      <c r="B2" s="292"/>
      <c r="C2" s="292"/>
      <c r="D2" s="292"/>
      <c r="E2" s="292"/>
      <c r="F2" s="292"/>
      <c r="G2" s="5"/>
    </row>
    <row r="3" spans="1:8" ht="14.25" customHeight="1" x14ac:dyDescent="0.2">
      <c r="A3" s="5"/>
      <c r="B3" s="5"/>
      <c r="C3" s="5"/>
      <c r="D3" s="242"/>
      <c r="E3" s="5"/>
      <c r="F3" s="5"/>
      <c r="G3" s="5"/>
    </row>
    <row r="4" spans="1:8" ht="7.5" customHeight="1" x14ac:dyDescent="0.2">
      <c r="A4" s="230"/>
      <c r="B4" s="230"/>
      <c r="C4" s="230"/>
      <c r="D4" s="8"/>
      <c r="E4" s="230"/>
      <c r="F4" s="230"/>
      <c r="G4" s="230"/>
    </row>
    <row r="5" spans="1:8" ht="18.75" customHeight="1" x14ac:dyDescent="0.2">
      <c r="B5" s="259" t="s">
        <v>108</v>
      </c>
      <c r="C5" s="260"/>
      <c r="D5" s="260"/>
      <c r="E5" s="261"/>
      <c r="F5" s="258"/>
      <c r="G5" s="230"/>
      <c r="H5" s="8"/>
    </row>
    <row r="6" spans="1:8" ht="54" x14ac:dyDescent="0.2">
      <c r="B6" s="9" t="s">
        <v>0</v>
      </c>
      <c r="C6" s="10" t="str">
        <f>Table!C6</f>
        <v>Dept. of Finance 60+ Population Projection for 2017</v>
      </c>
      <c r="D6" s="243"/>
      <c r="E6" s="10" t="str">
        <f>Table!H6</f>
        <v>FY 2017-2018 Matching Funds ($0.90 per capita)</v>
      </c>
      <c r="F6" s="11"/>
      <c r="G6" s="6"/>
      <c r="H6" s="12"/>
    </row>
    <row r="7" spans="1:8" ht="18" x14ac:dyDescent="0.2">
      <c r="B7" s="13" t="s">
        <v>1</v>
      </c>
      <c r="C7" s="239">
        <f>Table!C8</f>
        <v>34141</v>
      </c>
      <c r="D7" s="244"/>
      <c r="E7" s="241">
        <f>Table!H8</f>
        <v>30727</v>
      </c>
      <c r="F7" s="16"/>
      <c r="G7" s="6"/>
      <c r="H7" s="12"/>
    </row>
    <row r="8" spans="1:8" ht="18" x14ac:dyDescent="0.2">
      <c r="B8" s="13" t="s">
        <v>2</v>
      </c>
      <c r="C8" s="239">
        <f>Table!C9</f>
        <v>92277</v>
      </c>
      <c r="D8" s="244"/>
      <c r="E8" s="240">
        <f>Table!H9</f>
        <v>83049</v>
      </c>
      <c r="F8" s="17"/>
      <c r="G8" s="6"/>
      <c r="H8" s="12"/>
    </row>
    <row r="9" spans="1:8" ht="18" x14ac:dyDescent="0.2">
      <c r="B9" s="13" t="s">
        <v>3</v>
      </c>
      <c r="C9" s="239">
        <f>Table!C10</f>
        <v>293171</v>
      </c>
      <c r="D9" s="244"/>
      <c r="E9" s="240">
        <f>Table!H10</f>
        <v>263854</v>
      </c>
      <c r="F9" s="17"/>
      <c r="G9" s="6"/>
      <c r="H9" s="12"/>
    </row>
    <row r="10" spans="1:8" ht="18" x14ac:dyDescent="0.2">
      <c r="B10" s="13" t="s">
        <v>4</v>
      </c>
      <c r="C10" s="239">
        <f>Table!C11</f>
        <v>1213</v>
      </c>
      <c r="D10" s="244"/>
      <c r="E10" s="240">
        <f>Table!H11</f>
        <v>1092</v>
      </c>
      <c r="F10" s="17"/>
      <c r="G10" s="6"/>
      <c r="H10" s="12"/>
    </row>
    <row r="11" spans="1:8" ht="18" x14ac:dyDescent="0.2">
      <c r="B11" s="13" t="s">
        <v>5</v>
      </c>
      <c r="C11" s="239">
        <f>Table!C12</f>
        <v>20669</v>
      </c>
      <c r="D11" s="244"/>
      <c r="E11" s="240">
        <f>Table!H12</f>
        <v>18602</v>
      </c>
      <c r="F11" s="17"/>
      <c r="G11" s="6"/>
      <c r="H11" s="12"/>
    </row>
    <row r="12" spans="1:8" ht="18" x14ac:dyDescent="0.2">
      <c r="B12" s="13" t="s">
        <v>6</v>
      </c>
      <c r="C12" s="239">
        <f>Table!C13</f>
        <v>38448</v>
      </c>
      <c r="D12" s="244"/>
      <c r="E12" s="240">
        <f>Table!H13</f>
        <v>34603</v>
      </c>
      <c r="F12" s="17"/>
      <c r="G12" s="6"/>
      <c r="H12" s="12"/>
    </row>
    <row r="13" spans="1:8" ht="18.75" thickBot="1" x14ac:dyDescent="0.25">
      <c r="B13" s="262" t="s">
        <v>7</v>
      </c>
      <c r="C13" s="263">
        <f>Table!C14</f>
        <v>14556</v>
      </c>
      <c r="D13" s="244"/>
      <c r="E13" s="266">
        <f>Table!H14</f>
        <v>13100</v>
      </c>
      <c r="F13" s="17"/>
      <c r="G13" s="6"/>
      <c r="H13" s="12"/>
    </row>
    <row r="14" spans="1:8" ht="18.75" thickBot="1" x14ac:dyDescent="0.25">
      <c r="B14" s="264" t="s">
        <v>30</v>
      </c>
      <c r="C14" s="265">
        <f>SUM(C7:C13)</f>
        <v>494475</v>
      </c>
      <c r="D14" s="245"/>
      <c r="E14" s="267">
        <f>SUM(E7:E13)</f>
        <v>445027</v>
      </c>
      <c r="F14" s="21"/>
      <c r="G14" s="6"/>
      <c r="H14" s="12"/>
    </row>
    <row r="15" spans="1:8" ht="14.25" customHeight="1" x14ac:dyDescent="0.2">
      <c r="B15" s="22"/>
      <c r="C15" s="23"/>
      <c r="D15" s="82"/>
      <c r="E15" s="21"/>
      <c r="F15" s="21"/>
      <c r="G15" s="6"/>
      <c r="H15" s="12"/>
    </row>
    <row r="16" spans="1:8" ht="17.25" customHeight="1" x14ac:dyDescent="0.2">
      <c r="B16" s="24"/>
    </row>
    <row r="17" spans="1:7" ht="22.5" customHeight="1" thickBot="1" x14ac:dyDescent="0.25">
      <c r="A17" s="247" t="s">
        <v>109</v>
      </c>
      <c r="B17" s="248"/>
      <c r="C17" s="249"/>
      <c r="D17" s="246"/>
      <c r="E17" s="247" t="s">
        <v>110</v>
      </c>
      <c r="F17" s="253"/>
    </row>
    <row r="18" spans="1:7" ht="90.75" thickTop="1" x14ac:dyDescent="0.2">
      <c r="A18" s="85" t="s">
        <v>0</v>
      </c>
      <c r="B18" s="86" t="str">
        <f>Table!C19</f>
        <v>Dept. of Finance 60+ Population Projection for 2018</v>
      </c>
      <c r="C18" s="86" t="str">
        <f>Table!D19</f>
        <v>Change in              60+ Population      (CY 2017 to 2018)</v>
      </c>
      <c r="D18" s="243"/>
      <c r="E18" s="250" t="s">
        <v>106</v>
      </c>
      <c r="F18" s="254" t="s">
        <v>107</v>
      </c>
      <c r="G18" s="25"/>
    </row>
    <row r="19" spans="1:7" ht="18" x14ac:dyDescent="0.2">
      <c r="A19" s="13" t="s">
        <v>1</v>
      </c>
      <c r="B19" s="275">
        <f>Table!C21</f>
        <v>35665</v>
      </c>
      <c r="C19" s="239">
        <f>Table!D21</f>
        <v>1524</v>
      </c>
      <c r="D19" s="244"/>
      <c r="E19" s="251">
        <f>Table!E21</f>
        <v>1570</v>
      </c>
      <c r="F19" s="255">
        <f>Table!H21</f>
        <v>36735</v>
      </c>
      <c r="G19" s="28"/>
    </row>
    <row r="20" spans="1:7" ht="18" x14ac:dyDescent="0.2">
      <c r="A20" s="13" t="s">
        <v>2</v>
      </c>
      <c r="B20" s="275">
        <f>Table!C22</f>
        <v>104600</v>
      </c>
      <c r="C20" s="239">
        <f>Table!D22</f>
        <v>12323</v>
      </c>
      <c r="D20" s="244"/>
      <c r="E20" s="252">
        <f>Table!E22</f>
        <v>12693</v>
      </c>
      <c r="F20" s="256">
        <f>Table!H22</f>
        <v>107738</v>
      </c>
      <c r="G20" s="29"/>
    </row>
    <row r="21" spans="1:7" ht="18" x14ac:dyDescent="0.2">
      <c r="A21" s="13" t="s">
        <v>3</v>
      </c>
      <c r="B21" s="275">
        <f>Table!C23</f>
        <v>306060</v>
      </c>
      <c r="C21" s="239">
        <f>Table!D23</f>
        <v>12889</v>
      </c>
      <c r="D21" s="244"/>
      <c r="E21" s="252">
        <f>Table!E23</f>
        <v>13276</v>
      </c>
      <c r="F21" s="256">
        <f>Table!H23</f>
        <v>315242</v>
      </c>
      <c r="G21" s="29"/>
    </row>
    <row r="22" spans="1:7" ht="18" x14ac:dyDescent="0.2">
      <c r="A22" s="13" t="s">
        <v>4</v>
      </c>
      <c r="B22" s="275">
        <f>Table!C24</f>
        <v>1284</v>
      </c>
      <c r="C22" s="239">
        <f>Table!D24</f>
        <v>71</v>
      </c>
      <c r="D22" s="244"/>
      <c r="E22" s="252">
        <f>Table!E24</f>
        <v>73</v>
      </c>
      <c r="F22" s="256">
        <f>Table!H24</f>
        <v>1323</v>
      </c>
      <c r="G22" s="29"/>
    </row>
    <row r="23" spans="1:7" ht="18" x14ac:dyDescent="0.2">
      <c r="A23" s="13" t="s">
        <v>5</v>
      </c>
      <c r="B23" s="275">
        <f>Table!C25</f>
        <v>20547</v>
      </c>
      <c r="C23" s="239">
        <f>Table!D25</f>
        <v>-122</v>
      </c>
      <c r="D23" s="244"/>
      <c r="E23" s="252">
        <f>Table!E25</f>
        <v>-126</v>
      </c>
      <c r="F23" s="256">
        <f>Table!H25</f>
        <v>21163</v>
      </c>
      <c r="G23" s="29"/>
    </row>
    <row r="24" spans="1:7" ht="18" x14ac:dyDescent="0.2">
      <c r="A24" s="13" t="s">
        <v>6</v>
      </c>
      <c r="B24" s="275">
        <f>Table!C26</f>
        <v>39433</v>
      </c>
      <c r="C24" s="239">
        <f>Table!D26</f>
        <v>985</v>
      </c>
      <c r="D24" s="244"/>
      <c r="E24" s="252">
        <f>Table!E26</f>
        <v>1015</v>
      </c>
      <c r="F24" s="256">
        <f>Table!H26</f>
        <v>40616</v>
      </c>
      <c r="G24" s="29"/>
    </row>
    <row r="25" spans="1:7" ht="18.75" thickBot="1" x14ac:dyDescent="0.25">
      <c r="A25" s="262" t="s">
        <v>7</v>
      </c>
      <c r="B25" s="276">
        <f>Table!C27</f>
        <v>14062</v>
      </c>
      <c r="C25" s="263">
        <f>Table!D27</f>
        <v>-494</v>
      </c>
      <c r="D25" s="244"/>
      <c r="E25" s="268">
        <f>Table!E27</f>
        <v>-508</v>
      </c>
      <c r="F25" s="269">
        <f>Table!H27</f>
        <v>14484</v>
      </c>
      <c r="G25" s="29"/>
    </row>
    <row r="26" spans="1:7" s="33" customFormat="1" ht="18.75" thickBot="1" x14ac:dyDescent="0.25">
      <c r="A26" s="264" t="s">
        <v>30</v>
      </c>
      <c r="B26" s="265">
        <f>SUM(B19:B25)</f>
        <v>521651</v>
      </c>
      <c r="C26" s="265">
        <f>SUM(C19:C25)</f>
        <v>27176</v>
      </c>
      <c r="D26" s="245"/>
      <c r="E26" s="270">
        <f>SUM(E19:E25)</f>
        <v>27993</v>
      </c>
      <c r="F26" s="271">
        <f>SUM(F19:F25)</f>
        <v>537301</v>
      </c>
      <c r="G26" s="32"/>
    </row>
    <row r="27" spans="1:7" x14ac:dyDescent="0.2">
      <c r="F27" s="257"/>
    </row>
    <row r="28" spans="1:7" ht="18" x14ac:dyDescent="0.2">
      <c r="E28" s="83" t="e">
        <f>Table!#REF!</f>
        <v>#REF!</v>
      </c>
      <c r="F28" s="237" t="e">
        <f>Table!#REF!</f>
        <v>#REF!</v>
      </c>
    </row>
    <row r="29" spans="1:7" ht="18.75" thickBot="1" x14ac:dyDescent="0.25">
      <c r="E29" s="83" t="e">
        <f>Table!#REF!</f>
        <v>#REF!</v>
      </c>
      <c r="F29" s="238" t="e">
        <f>Table!#REF!</f>
        <v>#REF!</v>
      </c>
    </row>
    <row r="30" spans="1:7" ht="13.5" thickTop="1" x14ac:dyDescent="0.2"/>
  </sheetData>
  <mergeCells count="2">
    <mergeCell ref="A1:F1"/>
    <mergeCell ref="A2:F2"/>
  </mergeCells>
  <printOptions horizontalCentered="1" verticalCentered="1"/>
  <pageMargins left="1.5" right="1" top="1" bottom="1" header="0" footer="0"/>
  <pageSetup scale="78" orientation="landscape" r:id="rId1"/>
  <headerFooter alignWithMargins="0">
    <oddHeader>&amp;L&amp;"Arial,Bold"&amp;14Attachment 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X45"/>
  <sheetViews>
    <sheetView topLeftCell="B1" zoomScale="93" zoomScaleNormal="93" workbookViewId="0">
      <selection activeCell="K8" sqref="K8"/>
    </sheetView>
  </sheetViews>
  <sheetFormatPr defaultRowHeight="14.25" x14ac:dyDescent="0.2"/>
  <cols>
    <col min="1" max="1" width="1.625" customWidth="1"/>
    <col min="2" max="2" width="21.875" style="43" bestFit="1" customWidth="1"/>
    <col min="3" max="3" width="3.625" customWidth="1"/>
    <col min="4" max="5" width="9.125" bestFit="1" customWidth="1"/>
    <col min="6" max="6" width="11.25" bestFit="1" customWidth="1"/>
    <col min="7" max="7" width="11.375" bestFit="1" customWidth="1"/>
    <col min="8" max="9" width="11.25" bestFit="1" customWidth="1"/>
    <col min="10" max="19" width="11.125" bestFit="1" customWidth="1"/>
    <col min="20" max="20" width="11.25" bestFit="1" customWidth="1"/>
    <col min="21" max="22" width="9" customWidth="1"/>
    <col min="23" max="24" width="9" hidden="1" customWidth="1"/>
  </cols>
  <sheetData>
    <row r="1" spans="2:24" ht="18" x14ac:dyDescent="0.25">
      <c r="B1" s="66" t="s">
        <v>45</v>
      </c>
    </row>
    <row r="2" spans="2:24" ht="18" x14ac:dyDescent="0.25">
      <c r="B2" s="66" t="s">
        <v>46</v>
      </c>
    </row>
    <row r="3" spans="2:24" ht="18" x14ac:dyDescent="0.25">
      <c r="B3" s="66" t="s">
        <v>97</v>
      </c>
    </row>
    <row r="5" spans="2:24" ht="15" x14ac:dyDescent="0.25">
      <c r="D5" s="2" t="s">
        <v>26</v>
      </c>
      <c r="E5" s="2" t="s">
        <v>25</v>
      </c>
      <c r="F5" s="2" t="s">
        <v>24</v>
      </c>
      <c r="G5" s="2" t="s">
        <v>23</v>
      </c>
      <c r="H5" s="2" t="s">
        <v>22</v>
      </c>
      <c r="I5" s="2" t="s">
        <v>21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15</v>
      </c>
      <c r="Q5" s="2" t="s">
        <v>16</v>
      </c>
      <c r="R5" s="2" t="s">
        <v>17</v>
      </c>
      <c r="S5" s="2" t="s">
        <v>18</v>
      </c>
      <c r="T5" s="2" t="s">
        <v>19</v>
      </c>
      <c r="U5" s="2" t="s">
        <v>20</v>
      </c>
      <c r="V5" s="2" t="s">
        <v>74</v>
      </c>
      <c r="W5" s="2" t="s">
        <v>116</v>
      </c>
      <c r="X5" s="2" t="s">
        <v>123</v>
      </c>
    </row>
    <row r="6" spans="2:24" x14ac:dyDescent="0.2">
      <c r="B6" s="43" t="s">
        <v>1</v>
      </c>
      <c r="D6" s="34">
        <v>14650</v>
      </c>
      <c r="E6" s="34">
        <v>15789</v>
      </c>
      <c r="F6" s="34">
        <v>16200</v>
      </c>
      <c r="G6" s="34">
        <f>F6+324</f>
        <v>16524</v>
      </c>
      <c r="H6" s="34">
        <v>16524</v>
      </c>
      <c r="I6" s="34">
        <v>16524</v>
      </c>
      <c r="J6" s="42">
        <v>14977</v>
      </c>
      <c r="K6" s="42">
        <v>15168</v>
      </c>
      <c r="L6" s="42">
        <v>15168</v>
      </c>
      <c r="M6" s="34">
        <v>18021</v>
      </c>
      <c r="N6" s="34">
        <v>18021</v>
      </c>
      <c r="O6" s="34">
        <v>18021</v>
      </c>
      <c r="P6" s="34">
        <v>18021</v>
      </c>
      <c r="Q6" s="34">
        <v>18021</v>
      </c>
      <c r="R6" s="34">
        <v>19040</v>
      </c>
      <c r="S6" s="34">
        <v>21381</v>
      </c>
      <c r="T6" s="34">
        <v>21975</v>
      </c>
      <c r="U6" s="34">
        <v>25884</v>
      </c>
      <c r="V6" s="34">
        <v>30727</v>
      </c>
      <c r="W6" s="34">
        <f>Table!H21</f>
        <v>36735</v>
      </c>
      <c r="X6" s="34">
        <f>W6</f>
        <v>36735</v>
      </c>
    </row>
    <row r="7" spans="2:24" x14ac:dyDescent="0.2">
      <c r="B7" s="63" t="s">
        <v>2</v>
      </c>
      <c r="C7" s="64"/>
      <c r="D7" s="65">
        <v>22849</v>
      </c>
      <c r="E7" s="65">
        <v>27029</v>
      </c>
      <c r="F7" s="65">
        <v>28208</v>
      </c>
      <c r="G7" s="65">
        <f>F7+564</f>
        <v>28772</v>
      </c>
      <c r="H7" s="65">
        <v>28772</v>
      </c>
      <c r="I7" s="65">
        <v>28772</v>
      </c>
      <c r="J7" s="65">
        <v>36927</v>
      </c>
      <c r="K7" s="65">
        <v>38470</v>
      </c>
      <c r="L7" s="65">
        <v>38470</v>
      </c>
      <c r="M7" s="65">
        <v>44259</v>
      </c>
      <c r="N7" s="65">
        <v>44259</v>
      </c>
      <c r="O7" s="65">
        <v>44259</v>
      </c>
      <c r="P7" s="65">
        <v>44259</v>
      </c>
      <c r="Q7" s="65">
        <v>44259</v>
      </c>
      <c r="R7" s="65">
        <v>50801</v>
      </c>
      <c r="S7" s="65">
        <v>56994</v>
      </c>
      <c r="T7" s="65">
        <v>58815</v>
      </c>
      <c r="U7" s="65">
        <v>69628</v>
      </c>
      <c r="V7" s="65">
        <v>83049</v>
      </c>
      <c r="W7" s="65">
        <f>Table!H22</f>
        <v>107738</v>
      </c>
      <c r="X7" s="65">
        <f t="shared" ref="X7:X12" si="0">W7</f>
        <v>107738</v>
      </c>
    </row>
    <row r="8" spans="2:24" x14ac:dyDescent="0.2">
      <c r="B8" s="43" t="s">
        <v>3</v>
      </c>
      <c r="D8" s="34">
        <v>118483</v>
      </c>
      <c r="E8" s="34">
        <v>120503</v>
      </c>
      <c r="F8" s="34">
        <v>123342</v>
      </c>
      <c r="G8" s="34">
        <f>F8+2467</f>
        <v>125809</v>
      </c>
      <c r="H8" s="34">
        <v>125809</v>
      </c>
      <c r="I8" s="34">
        <v>125809</v>
      </c>
      <c r="J8" s="42">
        <v>134752</v>
      </c>
      <c r="K8" s="42">
        <v>137602</v>
      </c>
      <c r="L8" s="42">
        <v>137602</v>
      </c>
      <c r="M8" s="34">
        <v>152060</v>
      </c>
      <c r="N8" s="34">
        <v>152060</v>
      </c>
      <c r="O8" s="34">
        <v>152060</v>
      </c>
      <c r="P8" s="34">
        <v>152060</v>
      </c>
      <c r="Q8" s="34">
        <v>152060</v>
      </c>
      <c r="R8" s="34">
        <v>155622</v>
      </c>
      <c r="S8" s="34">
        <v>179047</v>
      </c>
      <c r="T8" s="34">
        <v>185781</v>
      </c>
      <c r="U8" s="34">
        <v>220717</v>
      </c>
      <c r="V8" s="34">
        <v>263854</v>
      </c>
      <c r="W8" s="34">
        <f>Table!H23</f>
        <v>315242</v>
      </c>
      <c r="X8" s="34">
        <f t="shared" si="0"/>
        <v>315242</v>
      </c>
    </row>
    <row r="9" spans="2:24" x14ac:dyDescent="0.2">
      <c r="B9" s="63" t="s">
        <v>4</v>
      </c>
      <c r="C9" s="64"/>
      <c r="D9" s="65">
        <v>461</v>
      </c>
      <c r="E9" s="65">
        <v>590</v>
      </c>
      <c r="F9" s="65">
        <v>624</v>
      </c>
      <c r="G9" s="65">
        <f>F9+12</f>
        <v>636</v>
      </c>
      <c r="H9" s="65">
        <v>636</v>
      </c>
      <c r="I9" s="65">
        <v>636</v>
      </c>
      <c r="J9" s="65">
        <v>649</v>
      </c>
      <c r="K9" s="65">
        <v>659</v>
      </c>
      <c r="L9" s="65">
        <v>659</v>
      </c>
      <c r="M9" s="65">
        <v>733</v>
      </c>
      <c r="N9" s="65">
        <v>733</v>
      </c>
      <c r="O9" s="65">
        <v>733</v>
      </c>
      <c r="P9" s="65">
        <v>733</v>
      </c>
      <c r="Q9" s="65">
        <v>733</v>
      </c>
      <c r="R9" s="65">
        <v>695</v>
      </c>
      <c r="S9" s="65">
        <v>771</v>
      </c>
      <c r="T9" s="65">
        <v>787</v>
      </c>
      <c r="U9" s="65">
        <v>923</v>
      </c>
      <c r="V9" s="65">
        <v>1092</v>
      </c>
      <c r="W9" s="65">
        <f>Table!H24</f>
        <v>1323</v>
      </c>
      <c r="X9" s="65">
        <f t="shared" si="0"/>
        <v>1323</v>
      </c>
    </row>
    <row r="10" spans="2:24" x14ac:dyDescent="0.2">
      <c r="B10" s="43" t="s">
        <v>5</v>
      </c>
      <c r="D10" s="34">
        <v>8681</v>
      </c>
      <c r="E10" s="34">
        <v>9773</v>
      </c>
      <c r="F10" s="34">
        <v>10088</v>
      </c>
      <c r="G10" s="34">
        <f>F10+202</f>
        <v>10290</v>
      </c>
      <c r="H10" s="34">
        <v>10290</v>
      </c>
      <c r="I10" s="34">
        <v>10290</v>
      </c>
      <c r="J10" s="42">
        <v>9684</v>
      </c>
      <c r="K10" s="42">
        <v>9872</v>
      </c>
      <c r="L10" s="42">
        <v>9872</v>
      </c>
      <c r="M10" s="34">
        <v>11140</v>
      </c>
      <c r="N10" s="34">
        <v>11140</v>
      </c>
      <c r="O10" s="34">
        <v>11140</v>
      </c>
      <c r="P10" s="34">
        <v>11140</v>
      </c>
      <c r="Q10" s="34">
        <v>11140</v>
      </c>
      <c r="R10" s="34">
        <v>11344</v>
      </c>
      <c r="S10" s="34">
        <v>12656</v>
      </c>
      <c r="T10" s="34">
        <v>13110</v>
      </c>
      <c r="U10" s="34">
        <v>15569</v>
      </c>
      <c r="V10" s="34">
        <v>18602</v>
      </c>
      <c r="W10" s="34">
        <f>Table!H25</f>
        <v>21163</v>
      </c>
      <c r="X10" s="34">
        <f t="shared" si="0"/>
        <v>21163</v>
      </c>
    </row>
    <row r="11" spans="2:24" x14ac:dyDescent="0.2">
      <c r="B11" s="63" t="s">
        <v>6</v>
      </c>
      <c r="C11" s="64"/>
      <c r="D11" s="65">
        <v>13399</v>
      </c>
      <c r="E11" s="65">
        <v>14891</v>
      </c>
      <c r="F11" s="65">
        <v>15427</v>
      </c>
      <c r="G11" s="65">
        <f>F11+309</f>
        <v>15736</v>
      </c>
      <c r="H11" s="65">
        <v>15736</v>
      </c>
      <c r="I11" s="65">
        <v>15736</v>
      </c>
      <c r="J11" s="65">
        <v>15928</v>
      </c>
      <c r="K11" s="65">
        <v>16408</v>
      </c>
      <c r="L11" s="65">
        <v>16408</v>
      </c>
      <c r="M11" s="65">
        <v>18297</v>
      </c>
      <c r="N11" s="65">
        <v>18297</v>
      </c>
      <c r="O11" s="65">
        <v>18297</v>
      </c>
      <c r="P11" s="65">
        <v>18297</v>
      </c>
      <c r="Q11" s="65">
        <v>18297</v>
      </c>
      <c r="R11" s="65">
        <v>19541</v>
      </c>
      <c r="S11" s="65">
        <v>23159</v>
      </c>
      <c r="T11" s="65">
        <v>24128</v>
      </c>
      <c r="U11" s="65">
        <v>28783</v>
      </c>
      <c r="V11" s="65">
        <v>34603</v>
      </c>
      <c r="W11" s="65">
        <f>Table!H26</f>
        <v>40616</v>
      </c>
      <c r="X11" s="65">
        <f t="shared" si="0"/>
        <v>40616</v>
      </c>
    </row>
    <row r="12" spans="2:24" x14ac:dyDescent="0.2">
      <c r="B12" s="43" t="s">
        <v>7</v>
      </c>
      <c r="D12" s="34">
        <v>5894</v>
      </c>
      <c r="E12" s="34">
        <v>5930</v>
      </c>
      <c r="F12" s="34">
        <v>6044</v>
      </c>
      <c r="G12" s="34">
        <f>F12+121</f>
        <v>6165</v>
      </c>
      <c r="H12" s="34">
        <v>6165</v>
      </c>
      <c r="I12" s="34">
        <v>6165</v>
      </c>
      <c r="J12" s="42">
        <v>6605</v>
      </c>
      <c r="K12" s="42">
        <v>6736</v>
      </c>
      <c r="L12" s="42">
        <v>6736</v>
      </c>
      <c r="M12" s="34">
        <v>7184</v>
      </c>
      <c r="N12" s="34">
        <v>7184</v>
      </c>
      <c r="O12" s="34">
        <v>7184</v>
      </c>
      <c r="P12" s="34">
        <v>7184</v>
      </c>
      <c r="Q12" s="34">
        <v>7184</v>
      </c>
      <c r="R12" s="34">
        <v>7277</v>
      </c>
      <c r="S12" s="34">
        <v>8530</v>
      </c>
      <c r="T12" s="34">
        <v>8943</v>
      </c>
      <c r="U12" s="34">
        <v>10791</v>
      </c>
      <c r="V12" s="34">
        <v>13100</v>
      </c>
      <c r="W12" s="34">
        <f>Table!H27</f>
        <v>14484</v>
      </c>
      <c r="X12" s="34">
        <f t="shared" si="0"/>
        <v>14484</v>
      </c>
    </row>
    <row r="13" spans="2:24" ht="6.75" customHeight="1" x14ac:dyDescent="0.2">
      <c r="B13" s="44"/>
      <c r="C13" s="1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2:24" s="3" customFormat="1" ht="15" x14ac:dyDescent="0.25">
      <c r="B14" s="46" t="s">
        <v>8</v>
      </c>
      <c r="D14" s="47">
        <f>SUM(D6:D13)</f>
        <v>184417</v>
      </c>
      <c r="E14" s="47">
        <f>SUM(E6:E13)</f>
        <v>194505</v>
      </c>
      <c r="F14" s="47">
        <f>SUM(F6:F13)</f>
        <v>199933</v>
      </c>
      <c r="G14" s="47">
        <f t="shared" ref="G14:V14" si="1">SUM(G6:G13)</f>
        <v>203932</v>
      </c>
      <c r="H14" s="47">
        <f t="shared" si="1"/>
        <v>203932</v>
      </c>
      <c r="I14" s="47">
        <f t="shared" si="1"/>
        <v>203932</v>
      </c>
      <c r="J14" s="47">
        <f t="shared" si="1"/>
        <v>219522</v>
      </c>
      <c r="K14" s="47">
        <f t="shared" si="1"/>
        <v>224915</v>
      </c>
      <c r="L14" s="47">
        <f t="shared" si="1"/>
        <v>224915</v>
      </c>
      <c r="M14" s="47">
        <f t="shared" si="1"/>
        <v>251694</v>
      </c>
      <c r="N14" s="47">
        <f t="shared" si="1"/>
        <v>251694</v>
      </c>
      <c r="O14" s="47">
        <f t="shared" si="1"/>
        <v>251694</v>
      </c>
      <c r="P14" s="47">
        <f t="shared" si="1"/>
        <v>251694</v>
      </c>
      <c r="Q14" s="47">
        <f t="shared" si="1"/>
        <v>251694</v>
      </c>
      <c r="R14" s="47">
        <f t="shared" si="1"/>
        <v>264320</v>
      </c>
      <c r="S14" s="47">
        <f t="shared" si="1"/>
        <v>302538</v>
      </c>
      <c r="T14" s="47">
        <f t="shared" si="1"/>
        <v>313539</v>
      </c>
      <c r="U14" s="47">
        <f t="shared" si="1"/>
        <v>372295</v>
      </c>
      <c r="V14" s="47">
        <f t="shared" si="1"/>
        <v>445027</v>
      </c>
      <c r="W14" s="47">
        <f t="shared" ref="W14:X14" si="2">SUM(W6:W13)</f>
        <v>537301</v>
      </c>
      <c r="X14" s="47">
        <f t="shared" si="2"/>
        <v>537301</v>
      </c>
    </row>
    <row r="15" spans="2:24" x14ac:dyDescent="0.2"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7" spans="2:24" s="142" customFormat="1" x14ac:dyDescent="0.2">
      <c r="E17" s="142">
        <v>36707</v>
      </c>
      <c r="F17" s="142">
        <v>37072</v>
      </c>
      <c r="G17" s="142">
        <v>37437</v>
      </c>
      <c r="H17" s="142">
        <v>37802</v>
      </c>
      <c r="I17" s="142">
        <v>38168</v>
      </c>
      <c r="J17" s="142">
        <v>38533</v>
      </c>
      <c r="K17" s="142">
        <v>38898</v>
      </c>
      <c r="L17" s="142">
        <v>39263</v>
      </c>
      <c r="M17" s="142">
        <v>39629</v>
      </c>
      <c r="N17" s="142">
        <v>39994</v>
      </c>
      <c r="O17" s="142">
        <v>40359</v>
      </c>
      <c r="P17" s="142">
        <v>40724</v>
      </c>
      <c r="Q17" s="142">
        <v>41090</v>
      </c>
      <c r="R17" s="142">
        <v>41455</v>
      </c>
      <c r="S17" s="142">
        <v>41820</v>
      </c>
      <c r="T17" s="142">
        <v>42185</v>
      </c>
      <c r="U17" s="142">
        <v>42551</v>
      </c>
      <c r="V17" s="142">
        <v>42916</v>
      </c>
      <c r="W17" s="288">
        <v>42916</v>
      </c>
      <c r="X17" s="288">
        <v>42916</v>
      </c>
    </row>
    <row r="18" spans="2:24" ht="6" customHeight="1" x14ac:dyDescent="0.2">
      <c r="B18" s="48"/>
      <c r="C18" s="49"/>
      <c r="D18" s="49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49"/>
      <c r="V18" s="49"/>
      <c r="W18" s="49"/>
      <c r="X18" s="49"/>
    </row>
    <row r="19" spans="2:24" x14ac:dyDescent="0.2">
      <c r="B19" s="51" t="s">
        <v>99</v>
      </c>
      <c r="C19" s="52"/>
      <c r="D19" s="52"/>
      <c r="E19" s="53">
        <v>174</v>
      </c>
      <c r="F19" s="53">
        <v>183.2</v>
      </c>
      <c r="G19" s="53">
        <v>185.9</v>
      </c>
      <c r="H19" s="53">
        <v>189.9</v>
      </c>
      <c r="I19" s="53">
        <v>195.8</v>
      </c>
      <c r="J19" s="53">
        <v>201.3</v>
      </c>
      <c r="K19" s="53">
        <v>210.9</v>
      </c>
      <c r="L19" s="53">
        <v>217.404</v>
      </c>
      <c r="M19" s="53">
        <v>228.32400000000001</v>
      </c>
      <c r="N19" s="53">
        <v>224.994</v>
      </c>
      <c r="O19" s="53">
        <v>227.113</v>
      </c>
      <c r="P19" s="53">
        <v>233.285</v>
      </c>
      <c r="Q19" s="53">
        <v>237.78100000000001</v>
      </c>
      <c r="R19" s="53">
        <v>241.92599999999999</v>
      </c>
      <c r="S19" s="53">
        <v>247.22800000000001</v>
      </c>
      <c r="T19" s="53">
        <v>250.404</v>
      </c>
      <c r="U19" s="143">
        <v>255.57599999999999</v>
      </c>
      <c r="V19" s="143">
        <v>262.286</v>
      </c>
      <c r="W19" s="287">
        <v>262.286</v>
      </c>
      <c r="X19" s="289">
        <f>W19*1.025</f>
        <v>268.84314999999998</v>
      </c>
    </row>
    <row r="20" spans="2:24" x14ac:dyDescent="0.2">
      <c r="B20" s="51" t="s">
        <v>43</v>
      </c>
      <c r="C20" s="52"/>
      <c r="D20" s="52"/>
      <c r="E20" s="53">
        <v>0</v>
      </c>
      <c r="F20" s="53">
        <f>F19-E19</f>
        <v>9.1999999999999886</v>
      </c>
      <c r="G20" s="53">
        <f t="shared" ref="G20:X20" si="3">G19-F19</f>
        <v>2.7000000000000171</v>
      </c>
      <c r="H20" s="53">
        <f t="shared" si="3"/>
        <v>4</v>
      </c>
      <c r="I20" s="53">
        <f t="shared" si="3"/>
        <v>5.9000000000000057</v>
      </c>
      <c r="J20" s="53">
        <f t="shared" si="3"/>
        <v>5.5</v>
      </c>
      <c r="K20" s="53">
        <f t="shared" si="3"/>
        <v>9.5999999999999943</v>
      </c>
      <c r="L20" s="53">
        <f t="shared" si="3"/>
        <v>6.5039999999999907</v>
      </c>
      <c r="M20" s="53">
        <f t="shared" si="3"/>
        <v>10.920000000000016</v>
      </c>
      <c r="N20" s="53">
        <f t="shared" si="3"/>
        <v>-3.3300000000000125</v>
      </c>
      <c r="O20" s="53">
        <f t="shared" si="3"/>
        <v>2.1189999999999998</v>
      </c>
      <c r="P20" s="53">
        <f t="shared" si="3"/>
        <v>6.171999999999997</v>
      </c>
      <c r="Q20" s="53">
        <f t="shared" si="3"/>
        <v>4.4960000000000093</v>
      </c>
      <c r="R20" s="53">
        <f t="shared" si="3"/>
        <v>4.1449999999999818</v>
      </c>
      <c r="S20" s="53">
        <f t="shared" si="3"/>
        <v>5.3020000000000209</v>
      </c>
      <c r="T20" s="53">
        <f t="shared" si="3"/>
        <v>3.1759999999999877</v>
      </c>
      <c r="U20" s="53">
        <f t="shared" si="3"/>
        <v>5.171999999999997</v>
      </c>
      <c r="V20" s="53">
        <f t="shared" si="3"/>
        <v>6.710000000000008</v>
      </c>
      <c r="W20" s="53">
        <f t="shared" si="3"/>
        <v>0</v>
      </c>
      <c r="X20" s="53">
        <f t="shared" si="3"/>
        <v>6.5571499999999787</v>
      </c>
    </row>
    <row r="21" spans="2:24" x14ac:dyDescent="0.2">
      <c r="B21" s="44" t="s">
        <v>44</v>
      </c>
      <c r="C21" s="1"/>
      <c r="D21" s="1"/>
      <c r="E21" s="54">
        <v>0</v>
      </c>
      <c r="F21" s="54">
        <f>E20+F20</f>
        <v>9.1999999999999886</v>
      </c>
      <c r="G21" s="54">
        <f>F21+G20</f>
        <v>11.900000000000006</v>
      </c>
      <c r="H21" s="54">
        <f t="shared" ref="H21:X21" si="4">G21+H20</f>
        <v>15.900000000000006</v>
      </c>
      <c r="I21" s="54">
        <f t="shared" si="4"/>
        <v>21.800000000000011</v>
      </c>
      <c r="J21" s="54">
        <f t="shared" si="4"/>
        <v>27.300000000000011</v>
      </c>
      <c r="K21" s="54">
        <f t="shared" si="4"/>
        <v>36.900000000000006</v>
      </c>
      <c r="L21" s="54">
        <f t="shared" si="4"/>
        <v>43.403999999999996</v>
      </c>
      <c r="M21" s="54">
        <f t="shared" si="4"/>
        <v>54.324000000000012</v>
      </c>
      <c r="N21" s="54">
        <f t="shared" si="4"/>
        <v>50.994</v>
      </c>
      <c r="O21" s="54">
        <f t="shared" si="4"/>
        <v>53.113</v>
      </c>
      <c r="P21" s="54">
        <f t="shared" si="4"/>
        <v>59.284999999999997</v>
      </c>
      <c r="Q21" s="54">
        <f t="shared" si="4"/>
        <v>63.781000000000006</v>
      </c>
      <c r="R21" s="54">
        <f t="shared" si="4"/>
        <v>67.925999999999988</v>
      </c>
      <c r="S21" s="54">
        <f t="shared" si="4"/>
        <v>73.228000000000009</v>
      </c>
      <c r="T21" s="54">
        <f t="shared" si="4"/>
        <v>76.403999999999996</v>
      </c>
      <c r="U21" s="54">
        <f t="shared" si="4"/>
        <v>81.575999999999993</v>
      </c>
      <c r="V21" s="54">
        <f t="shared" si="4"/>
        <v>88.286000000000001</v>
      </c>
      <c r="W21" s="54">
        <f t="shared" si="4"/>
        <v>88.286000000000001</v>
      </c>
      <c r="X21" s="54">
        <f t="shared" si="4"/>
        <v>94.84314999999998</v>
      </c>
    </row>
    <row r="22" spans="2:24" ht="6" customHeight="1" x14ac:dyDescent="0.2"/>
    <row r="23" spans="2:24" x14ac:dyDescent="0.2">
      <c r="B23" s="51" t="s">
        <v>41</v>
      </c>
      <c r="C23" s="52"/>
      <c r="D23" s="52"/>
      <c r="E23" s="52"/>
      <c r="F23" s="56">
        <f>F20/E19</f>
        <v>5.2873563218390741E-2</v>
      </c>
      <c r="G23" s="56">
        <f>G20/F19</f>
        <v>1.4737991266375639E-2</v>
      </c>
      <c r="H23" s="56">
        <f t="shared" ref="H23:X23" si="5">H20/G19</f>
        <v>2.151694459386767E-2</v>
      </c>
      <c r="I23" s="56">
        <f t="shared" si="5"/>
        <v>3.1068983675618774E-2</v>
      </c>
      <c r="J23" s="56">
        <f t="shared" si="5"/>
        <v>2.8089887640449437E-2</v>
      </c>
      <c r="K23" s="56">
        <f t="shared" si="5"/>
        <v>4.7690014903129629E-2</v>
      </c>
      <c r="L23" s="56">
        <f t="shared" si="5"/>
        <v>3.083926031294448E-2</v>
      </c>
      <c r="M23" s="56">
        <f t="shared" si="5"/>
        <v>5.0229066622509318E-2</v>
      </c>
      <c r="N23" s="56">
        <f t="shared" si="5"/>
        <v>-1.4584537762127557E-2</v>
      </c>
      <c r="O23" s="56">
        <f t="shared" si="5"/>
        <v>9.4180289252157826E-3</v>
      </c>
      <c r="P23" s="56">
        <f t="shared" si="5"/>
        <v>2.717589922197319E-2</v>
      </c>
      <c r="Q23" s="56">
        <f t="shared" si="5"/>
        <v>1.927256360246055E-2</v>
      </c>
      <c r="R23" s="56">
        <f t="shared" si="5"/>
        <v>1.7432006762525105E-2</v>
      </c>
      <c r="S23" s="56">
        <f t="shared" si="5"/>
        <v>2.1915792432396771E-2</v>
      </c>
      <c r="T23" s="56">
        <f t="shared" si="5"/>
        <v>1.2846441341595563E-2</v>
      </c>
      <c r="U23" s="56">
        <f t="shared" si="5"/>
        <v>2.0654622130636881E-2</v>
      </c>
      <c r="V23" s="56">
        <f t="shared" si="5"/>
        <v>2.6254421385419634E-2</v>
      </c>
      <c r="W23" s="56">
        <f t="shared" si="5"/>
        <v>0</v>
      </c>
      <c r="X23" s="56">
        <f t="shared" si="5"/>
        <v>2.4999999999999918E-2</v>
      </c>
    </row>
    <row r="24" spans="2:24" x14ac:dyDescent="0.2">
      <c r="B24" s="44" t="s">
        <v>42</v>
      </c>
      <c r="C24" s="1"/>
      <c r="D24" s="1"/>
      <c r="E24" s="1"/>
      <c r="F24" s="55">
        <f>F21/$E19</f>
        <v>5.2873563218390741E-2</v>
      </c>
      <c r="G24" s="55">
        <f t="shared" ref="G24:V24" si="6">G21/$E19</f>
        <v>6.839080459770118E-2</v>
      </c>
      <c r="H24" s="55">
        <f t="shared" si="6"/>
        <v>9.1379310344827616E-2</v>
      </c>
      <c r="I24" s="55">
        <f t="shared" si="6"/>
        <v>0.12528735632183916</v>
      </c>
      <c r="J24" s="55">
        <f t="shared" si="6"/>
        <v>0.15689655172413799</v>
      </c>
      <c r="K24" s="55">
        <f t="shared" si="6"/>
        <v>0.21206896551724141</v>
      </c>
      <c r="L24" s="55">
        <f t="shared" si="6"/>
        <v>0.24944827586206894</v>
      </c>
      <c r="M24" s="55">
        <f t="shared" si="6"/>
        <v>0.31220689655172423</v>
      </c>
      <c r="N24" s="55">
        <f t="shared" si="6"/>
        <v>0.29306896551724138</v>
      </c>
      <c r="O24" s="55">
        <f t="shared" si="6"/>
        <v>0.30524712643678159</v>
      </c>
      <c r="P24" s="55">
        <f t="shared" si="6"/>
        <v>0.3407183908045977</v>
      </c>
      <c r="Q24" s="55">
        <f t="shared" si="6"/>
        <v>0.36655747126436783</v>
      </c>
      <c r="R24" s="55">
        <f t="shared" si="6"/>
        <v>0.39037931034482753</v>
      </c>
      <c r="S24" s="55">
        <f t="shared" si="6"/>
        <v>0.42085057471264375</v>
      </c>
      <c r="T24" s="55">
        <f t="shared" si="6"/>
        <v>0.43910344827586206</v>
      </c>
      <c r="U24" s="55">
        <f t="shared" si="6"/>
        <v>0.46882758620689652</v>
      </c>
      <c r="V24" s="55">
        <f t="shared" si="6"/>
        <v>0.50739080459770114</v>
      </c>
      <c r="W24" s="55">
        <f t="shared" ref="W24:X24" si="7">W21/$E19</f>
        <v>0.50739080459770114</v>
      </c>
      <c r="X24" s="55">
        <f t="shared" si="7"/>
        <v>0.54507557471264356</v>
      </c>
    </row>
    <row r="25" spans="2:24" x14ac:dyDescent="0.2">
      <c r="F25" s="45"/>
    </row>
    <row r="27" spans="2:24" x14ac:dyDescent="0.2">
      <c r="B27" s="43" t="s">
        <v>47</v>
      </c>
      <c r="D27" s="4">
        <v>0.6</v>
      </c>
      <c r="E27" s="4">
        <v>0.68</v>
      </c>
      <c r="F27" s="4">
        <v>0.68</v>
      </c>
      <c r="G27" s="4">
        <v>0.68</v>
      </c>
      <c r="H27" s="4">
        <v>0.68</v>
      </c>
      <c r="I27" s="4">
        <v>0.68</v>
      </c>
      <c r="J27" s="4">
        <v>0.68</v>
      </c>
      <c r="K27" s="4">
        <v>0.68</v>
      </c>
      <c r="L27" s="4">
        <v>0.68</v>
      </c>
      <c r="M27" s="4">
        <v>0.68</v>
      </c>
      <c r="N27" s="4">
        <v>0.68</v>
      </c>
      <c r="O27" s="4">
        <v>0.68</v>
      </c>
      <c r="P27" s="4">
        <v>0.68</v>
      </c>
      <c r="Q27" s="4">
        <v>0.68</v>
      </c>
      <c r="R27" s="4">
        <v>0.68</v>
      </c>
      <c r="S27" s="4">
        <v>0.68</v>
      </c>
      <c r="T27" s="4">
        <v>0.68</v>
      </c>
      <c r="U27" s="4">
        <v>0.78</v>
      </c>
      <c r="V27" s="4">
        <v>0.9</v>
      </c>
      <c r="W27" s="4">
        <f>ROUND(W29,2)</f>
        <v>1.03</v>
      </c>
      <c r="X27" s="4">
        <f>ROUND(X29,2)</f>
        <v>1.05</v>
      </c>
    </row>
    <row r="29" spans="2:24" s="58" customFormat="1" ht="45" x14ac:dyDescent="0.2">
      <c r="B29" s="57" t="s">
        <v>71</v>
      </c>
      <c r="E29" s="59">
        <v>0.68</v>
      </c>
      <c r="F29" s="59">
        <f>E29+(E29*F23)</f>
        <v>0.71595402298850574</v>
      </c>
      <c r="G29" s="59">
        <f t="shared" ref="G29:X29" si="8">F29+(F29*G23)</f>
        <v>0.7265057471264369</v>
      </c>
      <c r="H29" s="59">
        <f t="shared" si="8"/>
        <v>0.74213793103448289</v>
      </c>
      <c r="I29" s="59">
        <f t="shared" si="8"/>
        <v>0.76519540229885075</v>
      </c>
      <c r="J29" s="59">
        <f t="shared" si="8"/>
        <v>0.78668965517241396</v>
      </c>
      <c r="K29" s="59">
        <f t="shared" si="8"/>
        <v>0.8242068965517243</v>
      </c>
      <c r="L29" s="59">
        <f t="shared" si="8"/>
        <v>0.84962482758620705</v>
      </c>
      <c r="M29" s="59">
        <f t="shared" si="8"/>
        <v>0.89230068965517262</v>
      </c>
      <c r="N29" s="59">
        <f t="shared" si="8"/>
        <v>0.87928689655172432</v>
      </c>
      <c r="O29" s="59">
        <f t="shared" si="8"/>
        <v>0.88756804597701167</v>
      </c>
      <c r="P29" s="59">
        <f t="shared" si="8"/>
        <v>0.91168850574712657</v>
      </c>
      <c r="Q29" s="59">
        <f t="shared" si="8"/>
        <v>0.92925908045977024</v>
      </c>
      <c r="R29" s="59">
        <f t="shared" si="8"/>
        <v>0.94545793103448283</v>
      </c>
      <c r="S29" s="59">
        <f t="shared" si="8"/>
        <v>0.96617839080459789</v>
      </c>
      <c r="T29" s="59">
        <f t="shared" si="8"/>
        <v>0.97859034482758633</v>
      </c>
      <c r="U29" s="59">
        <f t="shared" si="8"/>
        <v>0.99880275862068979</v>
      </c>
      <c r="V29" s="59">
        <f t="shared" si="8"/>
        <v>1.025025747126437</v>
      </c>
      <c r="W29" s="59">
        <f t="shared" si="8"/>
        <v>1.025025747126437</v>
      </c>
      <c r="X29" s="59">
        <f t="shared" si="8"/>
        <v>1.0506513908045978</v>
      </c>
    </row>
    <row r="30" spans="2:24" x14ac:dyDescent="0.2">
      <c r="B30" s="43" t="s">
        <v>72</v>
      </c>
      <c r="E30" s="4">
        <f>E27-E29</f>
        <v>0</v>
      </c>
      <c r="F30" s="4">
        <f t="shared" ref="F30:V30" si="9">F27-F29</f>
        <v>-3.5954022988505696E-2</v>
      </c>
      <c r="G30" s="4">
        <f t="shared" si="9"/>
        <v>-4.6505747126436847E-2</v>
      </c>
      <c r="H30" s="4">
        <f t="shared" si="9"/>
        <v>-6.2137931034482841E-2</v>
      </c>
      <c r="I30" s="4">
        <f t="shared" si="9"/>
        <v>-8.5195402298850698E-2</v>
      </c>
      <c r="J30" s="4">
        <f t="shared" si="9"/>
        <v>-0.10668965517241391</v>
      </c>
      <c r="K30" s="4">
        <f t="shared" si="9"/>
        <v>-0.14420689655172425</v>
      </c>
      <c r="L30" s="4">
        <f t="shared" si="9"/>
        <v>-0.16962482758620701</v>
      </c>
      <c r="M30" s="4">
        <f t="shared" si="9"/>
        <v>-0.21230068965517257</v>
      </c>
      <c r="N30" s="4">
        <f t="shared" si="9"/>
        <v>-0.19928689655172427</v>
      </c>
      <c r="O30" s="4">
        <f t="shared" si="9"/>
        <v>-0.20756804597701162</v>
      </c>
      <c r="P30" s="4">
        <f t="shared" si="9"/>
        <v>-0.23168850574712652</v>
      </c>
      <c r="Q30" s="4">
        <f t="shared" si="9"/>
        <v>-0.24925908045977019</v>
      </c>
      <c r="R30" s="4">
        <f t="shared" si="9"/>
        <v>-0.26545793103448279</v>
      </c>
      <c r="S30" s="4">
        <f t="shared" si="9"/>
        <v>-0.28617839080459784</v>
      </c>
      <c r="T30" s="4">
        <f t="shared" si="9"/>
        <v>-0.29859034482758628</v>
      </c>
      <c r="U30" s="4">
        <f t="shared" si="9"/>
        <v>-0.21880275862068976</v>
      </c>
      <c r="V30" s="4">
        <f t="shared" si="9"/>
        <v>-0.12502574712643699</v>
      </c>
      <c r="W30" s="4">
        <f t="shared" ref="W30:X30" si="10">W27-W29</f>
        <v>4.974252873563012E-3</v>
      </c>
      <c r="X30" s="4">
        <f t="shared" si="10"/>
        <v>-6.5139080459775123E-4</v>
      </c>
    </row>
    <row r="31" spans="2:24" x14ac:dyDescent="0.2">
      <c r="B31" s="43" t="s">
        <v>73</v>
      </c>
      <c r="F31" s="45">
        <f>F30/F29</f>
        <v>-5.0218340611353642E-2</v>
      </c>
      <c r="G31" s="45">
        <f t="shared" ref="G31:V31" si="11">G30/G29</f>
        <v>-6.4012910166756407E-2</v>
      </c>
      <c r="H31" s="45">
        <f t="shared" si="11"/>
        <v>-8.3728278041074342E-2</v>
      </c>
      <c r="I31" s="45">
        <f t="shared" si="11"/>
        <v>-0.11133810010214518</v>
      </c>
      <c r="J31" s="45">
        <f t="shared" si="11"/>
        <v>-0.13561847988077508</v>
      </c>
      <c r="K31" s="45">
        <f t="shared" si="11"/>
        <v>-0.17496443812233295</v>
      </c>
      <c r="L31" s="45">
        <f t="shared" si="11"/>
        <v>-0.19964674063034729</v>
      </c>
      <c r="M31" s="45">
        <f t="shared" si="11"/>
        <v>-0.23792505387081528</v>
      </c>
      <c r="N31" s="45">
        <f t="shared" si="11"/>
        <v>-0.22664604389450396</v>
      </c>
      <c r="O31" s="45">
        <f t="shared" si="11"/>
        <v>-0.23386155790289426</v>
      </c>
      <c r="P31" s="45">
        <f t="shared" si="11"/>
        <v>-0.25413121289409957</v>
      </c>
      <c r="Q31" s="45">
        <f t="shared" si="11"/>
        <v>-0.26823421551764021</v>
      </c>
      <c r="R31" s="45">
        <f t="shared" si="11"/>
        <v>-0.28077180625480519</v>
      </c>
      <c r="S31" s="45">
        <f t="shared" si="11"/>
        <v>-0.29619622372870397</v>
      </c>
      <c r="T31" s="45">
        <f t="shared" si="11"/>
        <v>-0.30512292135908375</v>
      </c>
      <c r="U31" s="45">
        <f t="shared" si="11"/>
        <v>-0.21906503234216973</v>
      </c>
      <c r="V31" s="45">
        <f t="shared" si="11"/>
        <v>-0.1219732747952282</v>
      </c>
      <c r="W31" s="45">
        <f t="shared" ref="W31:X31" si="12">W30/W29</f>
        <v>4.8528077343499522E-3</v>
      </c>
      <c r="X31" s="45">
        <f t="shared" si="12"/>
        <v>-6.1998757180429804E-4</v>
      </c>
    </row>
    <row r="34" spans="2:24" ht="15" x14ac:dyDescent="0.2">
      <c r="B34" s="62" t="s">
        <v>48</v>
      </c>
    </row>
    <row r="36" spans="2:24" ht="15" x14ac:dyDescent="0.25">
      <c r="D36" s="2" t="str">
        <f>D5</f>
        <v>1999-2000</v>
      </c>
      <c r="E36" s="2" t="str">
        <f t="shared" ref="E36:V36" si="13">E5</f>
        <v>2000-01</v>
      </c>
      <c r="F36" s="2" t="str">
        <f t="shared" si="13"/>
        <v>2001-02</v>
      </c>
      <c r="G36" s="2" t="str">
        <f t="shared" si="13"/>
        <v>2002-03</v>
      </c>
      <c r="H36" s="2" t="str">
        <f t="shared" si="13"/>
        <v>2003-04</v>
      </c>
      <c r="I36" s="2" t="str">
        <f t="shared" si="13"/>
        <v>2004-05</v>
      </c>
      <c r="J36" s="2" t="str">
        <f t="shared" si="13"/>
        <v>2005-06</v>
      </c>
      <c r="K36" s="2" t="str">
        <f t="shared" si="13"/>
        <v>2006-07</v>
      </c>
      <c r="L36" s="2" t="str">
        <f t="shared" si="13"/>
        <v>2007-08</v>
      </c>
      <c r="M36" s="2" t="str">
        <f t="shared" si="13"/>
        <v>2008-09</v>
      </c>
      <c r="N36" s="2" t="str">
        <f t="shared" si="13"/>
        <v>2009-10</v>
      </c>
      <c r="O36" s="2" t="str">
        <f t="shared" si="13"/>
        <v>2010-11</v>
      </c>
      <c r="P36" s="2" t="str">
        <f t="shared" si="13"/>
        <v>2011-12</v>
      </c>
      <c r="Q36" s="2" t="str">
        <f t="shared" si="13"/>
        <v>2012-13</v>
      </c>
      <c r="R36" s="2" t="str">
        <f t="shared" si="13"/>
        <v>2013-14</v>
      </c>
      <c r="S36" s="2" t="str">
        <f t="shared" si="13"/>
        <v>2014-15</v>
      </c>
      <c r="T36" s="2" t="str">
        <f t="shared" si="13"/>
        <v>2015-16</v>
      </c>
      <c r="U36" s="2" t="str">
        <f t="shared" si="13"/>
        <v>2016-17</v>
      </c>
      <c r="V36" s="2" t="str">
        <f t="shared" si="13"/>
        <v>2017-18</v>
      </c>
      <c r="W36" s="2" t="str">
        <f t="shared" ref="W36:X36" si="14">W5</f>
        <v>2018-19</v>
      </c>
      <c r="X36" s="2" t="str">
        <f t="shared" si="14"/>
        <v>2019-20</v>
      </c>
    </row>
    <row r="37" spans="2:24" x14ac:dyDescent="0.2">
      <c r="B37" s="43" t="s">
        <v>1</v>
      </c>
      <c r="D37" s="61">
        <f>D6</f>
        <v>14650</v>
      </c>
      <c r="E37" s="61">
        <f>E6</f>
        <v>15789</v>
      </c>
      <c r="F37" s="61">
        <f>F6/F$27*F$29</f>
        <v>17056.551724137928</v>
      </c>
      <c r="G37" s="61">
        <f>G6/G$27*G$29</f>
        <v>17654.089655172418</v>
      </c>
      <c r="H37" s="61">
        <f t="shared" ref="H37:V43" si="15">H6/H$27*H$29</f>
        <v>18033.951724137933</v>
      </c>
      <c r="I37" s="61">
        <f t="shared" si="15"/>
        <v>18594.248275862072</v>
      </c>
      <c r="J37" s="61">
        <f t="shared" si="15"/>
        <v>17326.839655172418</v>
      </c>
      <c r="K37" s="61">
        <f t="shared" si="15"/>
        <v>18384.662068965521</v>
      </c>
      <c r="L37" s="61">
        <f t="shared" si="15"/>
        <v>18951.631448275864</v>
      </c>
      <c r="M37" s="61">
        <f t="shared" si="15"/>
        <v>23647.280482758626</v>
      </c>
      <c r="N37" s="61">
        <f t="shared" si="15"/>
        <v>23302.39582758621</v>
      </c>
      <c r="O37" s="61">
        <f t="shared" si="15"/>
        <v>23521.858465517245</v>
      </c>
      <c r="P37" s="61">
        <f t="shared" si="15"/>
        <v>24161.086120689659</v>
      </c>
      <c r="Q37" s="61">
        <f t="shared" si="15"/>
        <v>24626.732189655177</v>
      </c>
      <c r="R37" s="61">
        <f t="shared" si="15"/>
        <v>26472.822068965517</v>
      </c>
      <c r="S37" s="61">
        <f t="shared" si="15"/>
        <v>30379.20613793104</v>
      </c>
      <c r="T37" s="61">
        <f t="shared" si="15"/>
        <v>31624.298275862071</v>
      </c>
      <c r="U37" s="61">
        <f t="shared" si="15"/>
        <v>33144.885389920426</v>
      </c>
      <c r="V37" s="61">
        <f t="shared" si="15"/>
        <v>34995.517924393367</v>
      </c>
      <c r="W37" s="61">
        <f t="shared" ref="W37:X37" si="16">W6/W$27*W$29</f>
        <v>36557.593029795789</v>
      </c>
      <c r="X37" s="61">
        <f t="shared" si="16"/>
        <v>36757.789372577994</v>
      </c>
    </row>
    <row r="38" spans="2:24" x14ac:dyDescent="0.2">
      <c r="B38" s="63" t="s">
        <v>2</v>
      </c>
      <c r="C38" s="64"/>
      <c r="D38" s="65">
        <f t="shared" ref="D38:E43" si="17">D7</f>
        <v>22849</v>
      </c>
      <c r="E38" s="65">
        <f t="shared" si="17"/>
        <v>27029</v>
      </c>
      <c r="F38" s="65">
        <f t="shared" ref="F38:G43" si="18">F7/F$27*F$29</f>
        <v>29699.457471264366</v>
      </c>
      <c r="G38" s="65">
        <f t="shared" si="18"/>
        <v>30739.740229885061</v>
      </c>
      <c r="H38" s="65">
        <f t="shared" si="15"/>
        <v>31401.165517241381</v>
      </c>
      <c r="I38" s="65">
        <f t="shared" si="15"/>
        <v>32376.76781609196</v>
      </c>
      <c r="J38" s="65">
        <f t="shared" si="15"/>
        <v>42720.718965517248</v>
      </c>
      <c r="K38" s="65">
        <f t="shared" si="15"/>
        <v>46628.293103448283</v>
      </c>
      <c r="L38" s="65">
        <f t="shared" si="15"/>
        <v>48066.2751724138</v>
      </c>
      <c r="M38" s="65">
        <f t="shared" si="15"/>
        <v>58076.965034482768</v>
      </c>
      <c r="N38" s="65">
        <f t="shared" si="15"/>
        <v>57229.939344827595</v>
      </c>
      <c r="O38" s="65">
        <f t="shared" si="15"/>
        <v>57768.932568965523</v>
      </c>
      <c r="P38" s="65">
        <f t="shared" si="15"/>
        <v>59338.855258620693</v>
      </c>
      <c r="Q38" s="65">
        <f t="shared" si="15"/>
        <v>60482.46712068966</v>
      </c>
      <c r="R38" s="65">
        <f t="shared" si="15"/>
        <v>70632.659344827582</v>
      </c>
      <c r="S38" s="65">
        <f t="shared" si="15"/>
        <v>80979.957655172431</v>
      </c>
      <c r="T38" s="65">
        <f t="shared" si="15"/>
        <v>84640.869310344831</v>
      </c>
      <c r="U38" s="65">
        <f t="shared" si="15"/>
        <v>89159.792919540239</v>
      </c>
      <c r="V38" s="65">
        <f t="shared" si="15"/>
        <v>94585.959192337192</v>
      </c>
      <c r="W38" s="65">
        <f t="shared" ref="W38:X38" si="19">W7/W$27*W$29</f>
        <v>107217.69314942531</v>
      </c>
      <c r="X38" s="65">
        <f t="shared" si="19"/>
        <v>107804.83765952928</v>
      </c>
    </row>
    <row r="39" spans="2:24" x14ac:dyDescent="0.2">
      <c r="B39" s="43" t="s">
        <v>3</v>
      </c>
      <c r="D39" s="61">
        <f t="shared" si="17"/>
        <v>118483</v>
      </c>
      <c r="E39" s="61">
        <f t="shared" si="17"/>
        <v>120503</v>
      </c>
      <c r="F39" s="61">
        <f t="shared" si="18"/>
        <v>129863.53103448274</v>
      </c>
      <c r="G39" s="61">
        <f t="shared" si="18"/>
        <v>134413.17873563219</v>
      </c>
      <c r="H39" s="61">
        <f t="shared" si="15"/>
        <v>137305.33965517243</v>
      </c>
      <c r="I39" s="61">
        <f t="shared" si="15"/>
        <v>141571.27701149427</v>
      </c>
      <c r="J39" s="61">
        <f t="shared" si="15"/>
        <v>155894.12413793107</v>
      </c>
      <c r="K39" s="61">
        <f t="shared" si="15"/>
        <v>166783.11379310349</v>
      </c>
      <c r="L39" s="61">
        <f t="shared" si="15"/>
        <v>171926.58165517246</v>
      </c>
      <c r="M39" s="61">
        <f t="shared" si="15"/>
        <v>199534.18068965522</v>
      </c>
      <c r="N39" s="61">
        <f t="shared" si="15"/>
        <v>196624.06689655175</v>
      </c>
      <c r="O39" s="61">
        <f t="shared" si="15"/>
        <v>198475.87804597704</v>
      </c>
      <c r="P39" s="61">
        <f t="shared" si="15"/>
        <v>203869.63850574716</v>
      </c>
      <c r="Q39" s="61">
        <f t="shared" si="15"/>
        <v>207798.7290804598</v>
      </c>
      <c r="R39" s="61">
        <f t="shared" si="15"/>
        <v>216373.60903448274</v>
      </c>
      <c r="S39" s="61">
        <f t="shared" si="15"/>
        <v>254399.03285057473</v>
      </c>
      <c r="T39" s="61">
        <f t="shared" si="15"/>
        <v>267358.07772413793</v>
      </c>
      <c r="U39" s="61">
        <f t="shared" si="15"/>
        <v>282631.72881343949</v>
      </c>
      <c r="V39" s="61">
        <f t="shared" si="15"/>
        <v>300507.93720255437</v>
      </c>
      <c r="W39" s="61">
        <f t="shared" ref="W39:X39" si="20">W8/W$27*W$29</f>
        <v>313719.57919964299</v>
      </c>
      <c r="X39" s="61">
        <f t="shared" si="20"/>
        <v>315437.56737145048</v>
      </c>
    </row>
    <row r="40" spans="2:24" x14ac:dyDescent="0.2">
      <c r="B40" s="63" t="s">
        <v>4</v>
      </c>
      <c r="C40" s="64"/>
      <c r="D40" s="65">
        <f t="shared" si="17"/>
        <v>461</v>
      </c>
      <c r="E40" s="65">
        <f t="shared" si="17"/>
        <v>590</v>
      </c>
      <c r="F40" s="65">
        <f t="shared" si="18"/>
        <v>656.99310344827586</v>
      </c>
      <c r="G40" s="65">
        <f t="shared" si="18"/>
        <v>679.49655172413804</v>
      </c>
      <c r="H40" s="65">
        <f t="shared" si="15"/>
        <v>694.11724137931049</v>
      </c>
      <c r="I40" s="65">
        <f t="shared" si="15"/>
        <v>715.68275862068981</v>
      </c>
      <c r="J40" s="65">
        <f t="shared" si="15"/>
        <v>750.82586206896565</v>
      </c>
      <c r="K40" s="65">
        <f t="shared" si="15"/>
        <v>798.75344827586218</v>
      </c>
      <c r="L40" s="65">
        <f t="shared" si="15"/>
        <v>823.38641379310354</v>
      </c>
      <c r="M40" s="65">
        <f t="shared" si="15"/>
        <v>961.84765517241385</v>
      </c>
      <c r="N40" s="65">
        <f t="shared" si="15"/>
        <v>947.81955172413802</v>
      </c>
      <c r="O40" s="65">
        <f t="shared" si="15"/>
        <v>956.74614367816093</v>
      </c>
      <c r="P40" s="65">
        <f t="shared" si="15"/>
        <v>982.74658045977014</v>
      </c>
      <c r="Q40" s="65">
        <f t="shared" si="15"/>
        <v>1001.6866264367816</v>
      </c>
      <c r="R40" s="65">
        <f t="shared" si="15"/>
        <v>966.31362068965518</v>
      </c>
      <c r="S40" s="65">
        <f t="shared" si="15"/>
        <v>1095.4757931034485</v>
      </c>
      <c r="T40" s="65">
        <f t="shared" si="15"/>
        <v>1132.5744137931035</v>
      </c>
      <c r="U40" s="65">
        <f t="shared" si="15"/>
        <v>1181.9165977011496</v>
      </c>
      <c r="V40" s="65">
        <f t="shared" si="15"/>
        <v>1243.6979065134101</v>
      </c>
      <c r="W40" s="65">
        <f t="shared" ref="W40:X40" si="21">W9/W$27*W$29</f>
        <v>1316.6107412119186</v>
      </c>
      <c r="X40" s="65">
        <f t="shared" si="21"/>
        <v>1323.8207524137931</v>
      </c>
    </row>
    <row r="41" spans="2:24" x14ac:dyDescent="0.2">
      <c r="B41" s="43" t="s">
        <v>5</v>
      </c>
      <c r="D41" s="61">
        <f t="shared" si="17"/>
        <v>8681</v>
      </c>
      <c r="E41" s="61">
        <f t="shared" si="17"/>
        <v>9773</v>
      </c>
      <c r="F41" s="61">
        <f t="shared" si="18"/>
        <v>10621.388505747125</v>
      </c>
      <c r="G41" s="61">
        <f t="shared" si="18"/>
        <v>10993.741379310346</v>
      </c>
      <c r="H41" s="61">
        <f t="shared" si="15"/>
        <v>11230.293103448277</v>
      </c>
      <c r="I41" s="61">
        <f t="shared" si="15"/>
        <v>11579.206896551726</v>
      </c>
      <c r="J41" s="61">
        <f t="shared" si="15"/>
        <v>11203.386206896554</v>
      </c>
      <c r="K41" s="61">
        <f t="shared" si="15"/>
        <v>11965.544827586207</v>
      </c>
      <c r="L41" s="61">
        <f t="shared" si="15"/>
        <v>12334.553379310346</v>
      </c>
      <c r="M41" s="61">
        <f t="shared" si="15"/>
        <v>14617.98482758621</v>
      </c>
      <c r="N41" s="61">
        <f t="shared" si="15"/>
        <v>14404.788275862071</v>
      </c>
      <c r="O41" s="61">
        <f t="shared" si="15"/>
        <v>14540.452988505749</v>
      </c>
      <c r="P41" s="61">
        <f t="shared" si="15"/>
        <v>14935.602873563221</v>
      </c>
      <c r="Q41" s="61">
        <f t="shared" si="15"/>
        <v>15223.450229885058</v>
      </c>
      <c r="R41" s="61">
        <f t="shared" si="15"/>
        <v>15772.462896551724</v>
      </c>
      <c r="S41" s="61">
        <f t="shared" si="15"/>
        <v>17982.284873563221</v>
      </c>
      <c r="T41" s="61">
        <f t="shared" si="15"/>
        <v>18866.646206896552</v>
      </c>
      <c r="U41" s="61">
        <f t="shared" si="15"/>
        <v>19936.359165340411</v>
      </c>
      <c r="V41" s="61">
        <f t="shared" si="15"/>
        <v>21186.143275606642</v>
      </c>
      <c r="W41" s="61">
        <f t="shared" ref="W41:X41" si="22">W10/W$27*W$29</f>
        <v>21060.796006249308</v>
      </c>
      <c r="X41" s="61">
        <f t="shared" si="22"/>
        <v>21176.128936759716</v>
      </c>
    </row>
    <row r="42" spans="2:24" x14ac:dyDescent="0.2">
      <c r="B42" s="63" t="s">
        <v>6</v>
      </c>
      <c r="C42" s="64"/>
      <c r="D42" s="65">
        <f t="shared" si="17"/>
        <v>13399</v>
      </c>
      <c r="E42" s="65">
        <f t="shared" si="17"/>
        <v>14891</v>
      </c>
      <c r="F42" s="65">
        <f t="shared" si="18"/>
        <v>16242.680459770112</v>
      </c>
      <c r="G42" s="65">
        <f t="shared" si="18"/>
        <v>16812.197701149427</v>
      </c>
      <c r="H42" s="65">
        <f t="shared" si="15"/>
        <v>17173.944827586209</v>
      </c>
      <c r="I42" s="65">
        <f t="shared" si="15"/>
        <v>17707.521839080462</v>
      </c>
      <c r="J42" s="65">
        <f t="shared" si="15"/>
        <v>18427.048275862071</v>
      </c>
      <c r="K42" s="65">
        <f t="shared" si="15"/>
        <v>19887.627586206898</v>
      </c>
      <c r="L42" s="65">
        <f t="shared" si="15"/>
        <v>20500.947310344829</v>
      </c>
      <c r="M42" s="65">
        <f t="shared" si="15"/>
        <v>24009.449586206902</v>
      </c>
      <c r="N42" s="65">
        <f t="shared" si="15"/>
        <v>23659.282862068969</v>
      </c>
      <c r="O42" s="65">
        <f t="shared" si="15"/>
        <v>23882.106672413796</v>
      </c>
      <c r="P42" s="65">
        <f t="shared" si="15"/>
        <v>24531.124396551724</v>
      </c>
      <c r="Q42" s="65">
        <f t="shared" si="15"/>
        <v>25003.902051724141</v>
      </c>
      <c r="R42" s="65">
        <f t="shared" si="15"/>
        <v>27169.402103448276</v>
      </c>
      <c r="S42" s="65">
        <f t="shared" si="15"/>
        <v>32905.478459770122</v>
      </c>
      <c r="T42" s="65">
        <f t="shared" si="15"/>
        <v>34722.688000000002</v>
      </c>
      <c r="U42" s="65">
        <f t="shared" si="15"/>
        <v>36857.102309460657</v>
      </c>
      <c r="V42" s="65">
        <f t="shared" si="15"/>
        <v>39409.962142017888</v>
      </c>
      <c r="W42" s="65">
        <f t="shared" ref="W42:X42" si="23">W11/W$27*W$29</f>
        <v>40419.850238143066</v>
      </c>
      <c r="X42" s="65">
        <f t="shared" si="23"/>
        <v>40641.197037066231</v>
      </c>
    </row>
    <row r="43" spans="2:24" x14ac:dyDescent="0.2">
      <c r="B43" s="43" t="s">
        <v>7</v>
      </c>
      <c r="D43" s="61">
        <f t="shared" si="17"/>
        <v>5894</v>
      </c>
      <c r="E43" s="61">
        <f t="shared" si="17"/>
        <v>5930</v>
      </c>
      <c r="F43" s="61">
        <f t="shared" si="18"/>
        <v>6363.5678160919542</v>
      </c>
      <c r="G43" s="61">
        <f t="shared" si="18"/>
        <v>6586.6293103448279</v>
      </c>
      <c r="H43" s="61">
        <f t="shared" si="15"/>
        <v>6728.3534482758623</v>
      </c>
      <c r="I43" s="61">
        <f t="shared" si="15"/>
        <v>6937.3965517241386</v>
      </c>
      <c r="J43" s="61">
        <f t="shared" si="15"/>
        <v>7641.3017241379321</v>
      </c>
      <c r="K43" s="61">
        <f t="shared" si="15"/>
        <v>8164.4965517241399</v>
      </c>
      <c r="L43" s="61">
        <f t="shared" si="15"/>
        <v>8416.2835862068987</v>
      </c>
      <c r="M43" s="61">
        <f t="shared" si="15"/>
        <v>9426.8943448275877</v>
      </c>
      <c r="N43" s="61">
        <f t="shared" si="15"/>
        <v>9289.4074482758642</v>
      </c>
      <c r="O43" s="61">
        <f t="shared" si="15"/>
        <v>9376.8953563218402</v>
      </c>
      <c r="P43" s="61">
        <f t="shared" si="15"/>
        <v>9631.7209195402302</v>
      </c>
      <c r="Q43" s="61">
        <f t="shared" si="15"/>
        <v>9817.34887356322</v>
      </c>
      <c r="R43" s="61">
        <f t="shared" si="15"/>
        <v>10117.790241379311</v>
      </c>
      <c r="S43" s="61">
        <f t="shared" si="15"/>
        <v>12119.855402298852</v>
      </c>
      <c r="T43" s="61">
        <f t="shared" si="15"/>
        <v>12869.902137931036</v>
      </c>
      <c r="U43" s="61">
        <f t="shared" si="15"/>
        <v>13818.052010610081</v>
      </c>
      <c r="V43" s="61">
        <f t="shared" si="15"/>
        <v>14919.819208173694</v>
      </c>
      <c r="W43" s="61">
        <f t="shared" ref="W43:X43" si="24">W12/W$27*W$29</f>
        <v>14414.051379979916</v>
      </c>
      <c r="X43" s="61">
        <f t="shared" si="24"/>
        <v>14492.985470870281</v>
      </c>
    </row>
    <row r="44" spans="2:24" ht="6.75" customHeight="1" x14ac:dyDescent="0.2">
      <c r="B44" s="44"/>
    </row>
    <row r="45" spans="2:24" ht="15" x14ac:dyDescent="0.25">
      <c r="B45" s="46" t="s">
        <v>8</v>
      </c>
      <c r="D45" s="47">
        <f>SUM(D37:D44)</f>
        <v>184417</v>
      </c>
      <c r="E45" s="47">
        <f>SUM(E37:E44)</f>
        <v>194505</v>
      </c>
      <c r="F45" s="47">
        <f>SUM(F37:F44)</f>
        <v>210504.17011494251</v>
      </c>
      <c r="G45" s="47">
        <f t="shared" ref="G45:V45" si="25">SUM(G37:G44)</f>
        <v>217879.07356321844</v>
      </c>
      <c r="H45" s="47">
        <f t="shared" si="25"/>
        <v>222567.1655172414</v>
      </c>
      <c r="I45" s="47">
        <f t="shared" si="25"/>
        <v>229482.10114942532</v>
      </c>
      <c r="J45" s="47">
        <f t="shared" si="25"/>
        <v>253964.24482758626</v>
      </c>
      <c r="K45" s="47">
        <f t="shared" si="25"/>
        <v>272612.49137931038</v>
      </c>
      <c r="L45" s="47">
        <f t="shared" si="25"/>
        <v>281019.6589655173</v>
      </c>
      <c r="M45" s="47">
        <f t="shared" si="25"/>
        <v>330274.60262068972</v>
      </c>
      <c r="N45" s="47">
        <f t="shared" si="25"/>
        <v>325457.70020689658</v>
      </c>
      <c r="O45" s="47">
        <f t="shared" si="25"/>
        <v>328522.87024137937</v>
      </c>
      <c r="P45" s="47">
        <f t="shared" si="25"/>
        <v>337450.77465517248</v>
      </c>
      <c r="Q45" s="47">
        <f t="shared" si="25"/>
        <v>343954.31617241382</v>
      </c>
      <c r="R45" s="47">
        <f t="shared" si="25"/>
        <v>367505.0593103448</v>
      </c>
      <c r="S45" s="47">
        <f t="shared" si="25"/>
        <v>429861.29117241385</v>
      </c>
      <c r="T45" s="47">
        <f t="shared" si="25"/>
        <v>451215.05606896558</v>
      </c>
      <c r="U45" s="47">
        <f t="shared" si="25"/>
        <v>476729.83720601239</v>
      </c>
      <c r="V45" s="47">
        <f t="shared" si="25"/>
        <v>506849.03685159661</v>
      </c>
      <c r="W45" s="47">
        <f t="shared" ref="W45:X45" si="26">SUM(W37:W44)</f>
        <v>534706.17374444834</v>
      </c>
      <c r="X45" s="47">
        <f t="shared" si="26"/>
        <v>537634.32660066779</v>
      </c>
    </row>
  </sheetData>
  <sheetProtection sheet="1" objects="1" scenarios="1"/>
  <printOptions horizontalCentered="1"/>
  <pageMargins left="0.25" right="0.25" top="0.75" bottom="0.75" header="0.3" footer="0.3"/>
  <pageSetup paperSize="5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V45"/>
  <sheetViews>
    <sheetView zoomScaleNormal="100" workbookViewId="0">
      <selection activeCell="B3" sqref="B3"/>
    </sheetView>
  </sheetViews>
  <sheetFormatPr defaultRowHeight="14.25" x14ac:dyDescent="0.2"/>
  <cols>
    <col min="1" max="1" width="1.625" customWidth="1"/>
    <col min="2" max="2" width="21.875" style="43" bestFit="1" customWidth="1"/>
    <col min="3" max="3" width="3.625" customWidth="1"/>
    <col min="4" max="5" width="9.125" bestFit="1" customWidth="1"/>
    <col min="6" max="6" width="11.25" bestFit="1" customWidth="1"/>
    <col min="7" max="7" width="11.375" bestFit="1" customWidth="1"/>
    <col min="8" max="9" width="11.25" bestFit="1" customWidth="1"/>
    <col min="10" max="19" width="11.125" bestFit="1" customWidth="1"/>
    <col min="20" max="20" width="11.25" bestFit="1" customWidth="1"/>
    <col min="21" max="22" width="9" customWidth="1"/>
  </cols>
  <sheetData>
    <row r="1" spans="2:22" ht="18" x14ac:dyDescent="0.25">
      <c r="B1" s="66" t="s">
        <v>45</v>
      </c>
    </row>
    <row r="2" spans="2:22" ht="18" x14ac:dyDescent="0.25">
      <c r="B2" s="66" t="s">
        <v>46</v>
      </c>
    </row>
    <row r="3" spans="2:22" ht="18" x14ac:dyDescent="0.25">
      <c r="B3" s="66" t="s">
        <v>98</v>
      </c>
    </row>
    <row r="5" spans="2:22" ht="15" x14ac:dyDescent="0.25">
      <c r="D5" s="2" t="s">
        <v>26</v>
      </c>
      <c r="E5" s="2" t="s">
        <v>25</v>
      </c>
      <c r="F5" s="2" t="s">
        <v>24</v>
      </c>
      <c r="G5" s="2" t="s">
        <v>23</v>
      </c>
      <c r="H5" s="2" t="s">
        <v>22</v>
      </c>
      <c r="I5" s="2" t="s">
        <v>21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15</v>
      </c>
      <c r="Q5" s="2" t="s">
        <v>16</v>
      </c>
      <c r="R5" s="2" t="s">
        <v>17</v>
      </c>
      <c r="S5" s="2" t="s">
        <v>18</v>
      </c>
      <c r="T5" s="2" t="s">
        <v>19</v>
      </c>
      <c r="U5" s="2" t="s">
        <v>20</v>
      </c>
      <c r="V5" s="2" t="s">
        <v>74</v>
      </c>
    </row>
    <row r="6" spans="2:22" x14ac:dyDescent="0.2">
      <c r="B6" s="43" t="s">
        <v>1</v>
      </c>
      <c r="D6" s="34">
        <v>14650</v>
      </c>
      <c r="E6" s="34">
        <v>15789</v>
      </c>
      <c r="F6" s="34">
        <v>16200</v>
      </c>
      <c r="G6" s="34">
        <f>F6+324</f>
        <v>16524</v>
      </c>
      <c r="H6" s="34">
        <v>16524</v>
      </c>
      <c r="I6" s="34">
        <v>16524</v>
      </c>
      <c r="J6" s="42">
        <v>14977</v>
      </c>
      <c r="K6" s="42">
        <v>15168</v>
      </c>
      <c r="L6" s="42">
        <v>15168</v>
      </c>
      <c r="M6" s="34">
        <v>18021</v>
      </c>
      <c r="N6" s="34">
        <v>18021</v>
      </c>
      <c r="O6" s="34">
        <v>18021</v>
      </c>
      <c r="P6" s="34">
        <v>18021</v>
      </c>
      <c r="Q6" s="34">
        <v>18021</v>
      </c>
      <c r="R6" s="34">
        <v>19040</v>
      </c>
      <c r="S6" s="34">
        <v>21381</v>
      </c>
      <c r="T6" s="34">
        <v>21975</v>
      </c>
      <c r="U6" s="34">
        <v>25884</v>
      </c>
      <c r="V6" s="34">
        <v>25884</v>
      </c>
    </row>
    <row r="7" spans="2:22" x14ac:dyDescent="0.2">
      <c r="B7" s="63" t="s">
        <v>2</v>
      </c>
      <c r="C7" s="64"/>
      <c r="D7" s="65">
        <v>22849</v>
      </c>
      <c r="E7" s="65">
        <v>27029</v>
      </c>
      <c r="F7" s="65">
        <v>28208</v>
      </c>
      <c r="G7" s="65">
        <f>F7+564</f>
        <v>28772</v>
      </c>
      <c r="H7" s="65">
        <v>28772</v>
      </c>
      <c r="I7" s="65">
        <v>28772</v>
      </c>
      <c r="J7" s="65">
        <v>36927</v>
      </c>
      <c r="K7" s="65">
        <v>38470</v>
      </c>
      <c r="L7" s="65">
        <v>38470</v>
      </c>
      <c r="M7" s="65">
        <v>44259</v>
      </c>
      <c r="N7" s="65">
        <v>44259</v>
      </c>
      <c r="O7" s="65">
        <v>44259</v>
      </c>
      <c r="P7" s="65">
        <v>44259</v>
      </c>
      <c r="Q7" s="65">
        <v>44259</v>
      </c>
      <c r="R7" s="65">
        <v>50801</v>
      </c>
      <c r="S7" s="65">
        <v>56994</v>
      </c>
      <c r="T7" s="65">
        <v>58815</v>
      </c>
      <c r="U7" s="65">
        <v>69628</v>
      </c>
      <c r="V7" s="65">
        <v>69628</v>
      </c>
    </row>
    <row r="8" spans="2:22" x14ac:dyDescent="0.2">
      <c r="B8" s="43" t="s">
        <v>3</v>
      </c>
      <c r="D8" s="34">
        <v>118483</v>
      </c>
      <c r="E8" s="34">
        <v>120503</v>
      </c>
      <c r="F8" s="34">
        <v>123342</v>
      </c>
      <c r="G8" s="34">
        <f>F8+2467</f>
        <v>125809</v>
      </c>
      <c r="H8" s="34">
        <v>125809</v>
      </c>
      <c r="I8" s="34">
        <v>125809</v>
      </c>
      <c r="J8" s="42">
        <v>134752</v>
      </c>
      <c r="K8" s="42">
        <v>137602</v>
      </c>
      <c r="L8" s="42">
        <v>137602</v>
      </c>
      <c r="M8" s="34">
        <v>152060</v>
      </c>
      <c r="N8" s="34">
        <v>152060</v>
      </c>
      <c r="O8" s="34">
        <v>152060</v>
      </c>
      <c r="P8" s="34">
        <v>152060</v>
      </c>
      <c r="Q8" s="34">
        <v>152060</v>
      </c>
      <c r="R8" s="34">
        <v>155622</v>
      </c>
      <c r="S8" s="34">
        <v>179047</v>
      </c>
      <c r="T8" s="34">
        <v>185781</v>
      </c>
      <c r="U8" s="34">
        <v>220717</v>
      </c>
      <c r="V8" s="34">
        <v>220717</v>
      </c>
    </row>
    <row r="9" spans="2:22" x14ac:dyDescent="0.2">
      <c r="B9" s="63" t="s">
        <v>4</v>
      </c>
      <c r="C9" s="64"/>
      <c r="D9" s="65">
        <v>461</v>
      </c>
      <c r="E9" s="65">
        <v>590</v>
      </c>
      <c r="F9" s="65">
        <v>624</v>
      </c>
      <c r="G9" s="65">
        <f>F9+12</f>
        <v>636</v>
      </c>
      <c r="H9" s="65">
        <v>636</v>
      </c>
      <c r="I9" s="65">
        <v>636</v>
      </c>
      <c r="J9" s="65">
        <v>649</v>
      </c>
      <c r="K9" s="65">
        <v>659</v>
      </c>
      <c r="L9" s="65">
        <v>659</v>
      </c>
      <c r="M9" s="65">
        <v>733</v>
      </c>
      <c r="N9" s="65">
        <v>733</v>
      </c>
      <c r="O9" s="65">
        <v>733</v>
      </c>
      <c r="P9" s="65">
        <v>733</v>
      </c>
      <c r="Q9" s="65">
        <v>733</v>
      </c>
      <c r="R9" s="65">
        <v>695</v>
      </c>
      <c r="S9" s="65">
        <v>771</v>
      </c>
      <c r="T9" s="65">
        <v>787</v>
      </c>
      <c r="U9" s="65">
        <v>923</v>
      </c>
      <c r="V9" s="65">
        <v>923</v>
      </c>
    </row>
    <row r="10" spans="2:22" x14ac:dyDescent="0.2">
      <c r="B10" s="43" t="s">
        <v>5</v>
      </c>
      <c r="D10" s="34">
        <v>8681</v>
      </c>
      <c r="E10" s="34">
        <v>9773</v>
      </c>
      <c r="F10" s="34">
        <v>10088</v>
      </c>
      <c r="G10" s="34">
        <f>F10+202</f>
        <v>10290</v>
      </c>
      <c r="H10" s="34">
        <v>10290</v>
      </c>
      <c r="I10" s="34">
        <v>10290</v>
      </c>
      <c r="J10" s="42">
        <v>9684</v>
      </c>
      <c r="K10" s="42">
        <v>9872</v>
      </c>
      <c r="L10" s="42">
        <v>9872</v>
      </c>
      <c r="M10" s="34">
        <v>11140</v>
      </c>
      <c r="N10" s="34">
        <v>11140</v>
      </c>
      <c r="O10" s="34">
        <v>11140</v>
      </c>
      <c r="P10" s="34">
        <v>11140</v>
      </c>
      <c r="Q10" s="34">
        <v>11140</v>
      </c>
      <c r="R10" s="34">
        <v>11344</v>
      </c>
      <c r="S10" s="34">
        <v>12656</v>
      </c>
      <c r="T10" s="34">
        <v>13110</v>
      </c>
      <c r="U10" s="34">
        <v>15569</v>
      </c>
      <c r="V10" s="34">
        <v>15569</v>
      </c>
    </row>
    <row r="11" spans="2:22" x14ac:dyDescent="0.2">
      <c r="B11" s="63" t="s">
        <v>6</v>
      </c>
      <c r="C11" s="64"/>
      <c r="D11" s="65">
        <v>13399</v>
      </c>
      <c r="E11" s="65">
        <v>14891</v>
      </c>
      <c r="F11" s="65">
        <v>15427</v>
      </c>
      <c r="G11" s="65">
        <f>F11+309</f>
        <v>15736</v>
      </c>
      <c r="H11" s="65">
        <v>15736</v>
      </c>
      <c r="I11" s="65">
        <v>15736</v>
      </c>
      <c r="J11" s="65">
        <v>15928</v>
      </c>
      <c r="K11" s="65">
        <v>16408</v>
      </c>
      <c r="L11" s="65">
        <v>16408</v>
      </c>
      <c r="M11" s="65">
        <v>18297</v>
      </c>
      <c r="N11" s="65">
        <v>18297</v>
      </c>
      <c r="O11" s="65">
        <v>18297</v>
      </c>
      <c r="P11" s="65">
        <v>18297</v>
      </c>
      <c r="Q11" s="65">
        <v>18297</v>
      </c>
      <c r="R11" s="65">
        <v>19541</v>
      </c>
      <c r="S11" s="65">
        <v>23159</v>
      </c>
      <c r="T11" s="65">
        <v>24128</v>
      </c>
      <c r="U11" s="65">
        <v>28783</v>
      </c>
      <c r="V11" s="65">
        <v>28783</v>
      </c>
    </row>
    <row r="12" spans="2:22" x14ac:dyDescent="0.2">
      <c r="B12" s="43" t="s">
        <v>7</v>
      </c>
      <c r="D12" s="34">
        <v>5894</v>
      </c>
      <c r="E12" s="34">
        <v>5930</v>
      </c>
      <c r="F12" s="34">
        <v>6044</v>
      </c>
      <c r="G12" s="34">
        <f>F12+121</f>
        <v>6165</v>
      </c>
      <c r="H12" s="34">
        <v>6165</v>
      </c>
      <c r="I12" s="34">
        <v>6165</v>
      </c>
      <c r="J12" s="42">
        <v>6605</v>
      </c>
      <c r="K12" s="42">
        <v>6736</v>
      </c>
      <c r="L12" s="42">
        <v>6736</v>
      </c>
      <c r="M12" s="34">
        <v>7184</v>
      </c>
      <c r="N12" s="34">
        <v>7184</v>
      </c>
      <c r="O12" s="34">
        <v>7184</v>
      </c>
      <c r="P12" s="34">
        <v>7184</v>
      </c>
      <c r="Q12" s="34">
        <v>7184</v>
      </c>
      <c r="R12" s="34">
        <v>7277</v>
      </c>
      <c r="S12" s="34">
        <v>8530</v>
      </c>
      <c r="T12" s="34">
        <v>8943</v>
      </c>
      <c r="U12" s="34">
        <v>10791</v>
      </c>
      <c r="V12" s="34">
        <v>10791</v>
      </c>
    </row>
    <row r="13" spans="2:22" ht="6.75" customHeight="1" x14ac:dyDescent="0.2">
      <c r="B13" s="44"/>
      <c r="C13" s="1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2:22" s="3" customFormat="1" ht="15" x14ac:dyDescent="0.25">
      <c r="B14" s="46" t="s">
        <v>8</v>
      </c>
      <c r="D14" s="47">
        <f>SUM(D6:D13)</f>
        <v>184417</v>
      </c>
      <c r="E14" s="47">
        <f>SUM(E6:E13)</f>
        <v>194505</v>
      </c>
      <c r="F14" s="47">
        <f>SUM(F6:F13)</f>
        <v>199933</v>
      </c>
      <c r="G14" s="47">
        <f t="shared" ref="G14:U14" si="0">SUM(G6:G13)</f>
        <v>203932</v>
      </c>
      <c r="H14" s="47">
        <f t="shared" si="0"/>
        <v>203932</v>
      </c>
      <c r="I14" s="47">
        <f t="shared" si="0"/>
        <v>203932</v>
      </c>
      <c r="J14" s="47">
        <f t="shared" si="0"/>
        <v>219522</v>
      </c>
      <c r="K14" s="47">
        <f t="shared" si="0"/>
        <v>224915</v>
      </c>
      <c r="L14" s="47">
        <f t="shared" si="0"/>
        <v>224915</v>
      </c>
      <c r="M14" s="47">
        <f t="shared" si="0"/>
        <v>251694</v>
      </c>
      <c r="N14" s="47">
        <f t="shared" si="0"/>
        <v>251694</v>
      </c>
      <c r="O14" s="47">
        <f t="shared" si="0"/>
        <v>251694</v>
      </c>
      <c r="P14" s="47">
        <f t="shared" si="0"/>
        <v>251694</v>
      </c>
      <c r="Q14" s="47">
        <f t="shared" si="0"/>
        <v>251694</v>
      </c>
      <c r="R14" s="47">
        <f t="shared" si="0"/>
        <v>264320</v>
      </c>
      <c r="S14" s="47">
        <f t="shared" si="0"/>
        <v>302538</v>
      </c>
      <c r="T14" s="47">
        <f t="shared" si="0"/>
        <v>313539</v>
      </c>
      <c r="U14" s="47">
        <f t="shared" si="0"/>
        <v>372295</v>
      </c>
      <c r="V14" s="47">
        <f t="shared" ref="V14" si="1">SUM(V6:V13)</f>
        <v>372295</v>
      </c>
    </row>
    <row r="15" spans="2:22" x14ac:dyDescent="0.2"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7" spans="2:22" s="142" customFormat="1" x14ac:dyDescent="0.2">
      <c r="E17" s="142">
        <v>36707</v>
      </c>
      <c r="F17" s="142">
        <v>37072</v>
      </c>
      <c r="G17" s="142">
        <v>37437</v>
      </c>
      <c r="H17" s="142">
        <v>37802</v>
      </c>
      <c r="I17" s="142">
        <v>38168</v>
      </c>
      <c r="J17" s="142">
        <v>38533</v>
      </c>
      <c r="K17" s="142">
        <v>38898</v>
      </c>
      <c r="L17" s="142">
        <v>39263</v>
      </c>
      <c r="M17" s="142">
        <v>39629</v>
      </c>
      <c r="N17" s="142">
        <v>39994</v>
      </c>
      <c r="O17" s="142">
        <v>40359</v>
      </c>
      <c r="P17" s="142">
        <v>40724</v>
      </c>
      <c r="Q17" s="142">
        <v>41090</v>
      </c>
      <c r="R17" s="142">
        <v>41455</v>
      </c>
      <c r="S17" s="142">
        <v>41820</v>
      </c>
      <c r="T17" s="142">
        <v>42185</v>
      </c>
      <c r="U17" s="142">
        <v>42551</v>
      </c>
      <c r="V17" s="142">
        <v>42704</v>
      </c>
    </row>
    <row r="18" spans="2:22" ht="6" customHeight="1" x14ac:dyDescent="0.2">
      <c r="B18" s="48"/>
      <c r="C18" s="49"/>
      <c r="D18" s="49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49"/>
      <c r="V18" s="49"/>
    </row>
    <row r="19" spans="2:22" x14ac:dyDescent="0.2">
      <c r="B19" s="51" t="s">
        <v>40</v>
      </c>
      <c r="C19" s="52"/>
      <c r="D19" s="52"/>
      <c r="E19" s="53">
        <v>172.4</v>
      </c>
      <c r="F19" s="53">
        <v>178</v>
      </c>
      <c r="G19" s="53">
        <v>179.9</v>
      </c>
      <c r="H19" s="53">
        <v>183.7</v>
      </c>
      <c r="I19" s="53">
        <v>189.7</v>
      </c>
      <c r="J19" s="53">
        <v>194.5</v>
      </c>
      <c r="K19" s="53">
        <v>202.9</v>
      </c>
      <c r="L19" s="53">
        <v>208.352</v>
      </c>
      <c r="M19" s="53">
        <v>218.815</v>
      </c>
      <c r="N19" s="53">
        <v>215.69300000000001</v>
      </c>
      <c r="O19" s="53">
        <v>217.965</v>
      </c>
      <c r="P19" s="53">
        <v>225.72200000000001</v>
      </c>
      <c r="Q19" s="53">
        <v>229.47800000000001</v>
      </c>
      <c r="R19" s="53">
        <v>233.50399999999999</v>
      </c>
      <c r="S19" s="53">
        <v>238.34299999999999</v>
      </c>
      <c r="T19" s="53">
        <v>238.63800000000001</v>
      </c>
      <c r="U19" s="143">
        <v>241.03800000000001</v>
      </c>
      <c r="V19" s="143">
        <v>241.35300000000001</v>
      </c>
    </row>
    <row r="20" spans="2:22" x14ac:dyDescent="0.2">
      <c r="B20" s="51" t="s">
        <v>43</v>
      </c>
      <c r="C20" s="52"/>
      <c r="D20" s="52"/>
      <c r="E20" s="53">
        <v>0</v>
      </c>
      <c r="F20" s="53">
        <f>F19-E19</f>
        <v>5.5999999999999943</v>
      </c>
      <c r="G20" s="53">
        <f t="shared" ref="G20:V20" si="2">G19-F19</f>
        <v>1.9000000000000057</v>
      </c>
      <c r="H20" s="53">
        <f t="shared" si="2"/>
        <v>3.7999999999999829</v>
      </c>
      <c r="I20" s="53">
        <f t="shared" si="2"/>
        <v>6</v>
      </c>
      <c r="J20" s="53">
        <f t="shared" si="2"/>
        <v>4.8000000000000114</v>
      </c>
      <c r="K20" s="53">
        <f t="shared" si="2"/>
        <v>8.4000000000000057</v>
      </c>
      <c r="L20" s="53">
        <f t="shared" si="2"/>
        <v>5.4519999999999982</v>
      </c>
      <c r="M20" s="53">
        <f t="shared" si="2"/>
        <v>10.462999999999994</v>
      </c>
      <c r="N20" s="53">
        <f t="shared" si="2"/>
        <v>-3.1219999999999857</v>
      </c>
      <c r="O20" s="53">
        <f t="shared" si="2"/>
        <v>2.2719999999999914</v>
      </c>
      <c r="P20" s="53">
        <f t="shared" si="2"/>
        <v>7.757000000000005</v>
      </c>
      <c r="Q20" s="53">
        <f t="shared" si="2"/>
        <v>3.7560000000000002</v>
      </c>
      <c r="R20" s="53">
        <f t="shared" si="2"/>
        <v>4.025999999999982</v>
      </c>
      <c r="S20" s="53">
        <f t="shared" si="2"/>
        <v>4.8389999999999986</v>
      </c>
      <c r="T20" s="53">
        <f t="shared" si="2"/>
        <v>0.29500000000001592</v>
      </c>
      <c r="U20" s="53">
        <f t="shared" si="2"/>
        <v>2.4000000000000057</v>
      </c>
      <c r="V20" s="53">
        <f t="shared" si="2"/>
        <v>0.31499999999999773</v>
      </c>
    </row>
    <row r="21" spans="2:22" x14ac:dyDescent="0.2">
      <c r="B21" s="44" t="s">
        <v>44</v>
      </c>
      <c r="C21" s="1"/>
      <c r="D21" s="1"/>
      <c r="E21" s="54">
        <v>0</v>
      </c>
      <c r="F21" s="54">
        <f>E20+F20</f>
        <v>5.5999999999999943</v>
      </c>
      <c r="G21" s="54">
        <f>F21+G20</f>
        <v>7.5</v>
      </c>
      <c r="H21" s="54">
        <f t="shared" ref="H21:V21" si="3">G21+H20</f>
        <v>11.299999999999983</v>
      </c>
      <c r="I21" s="54">
        <f t="shared" si="3"/>
        <v>17.299999999999983</v>
      </c>
      <c r="J21" s="54">
        <f t="shared" si="3"/>
        <v>22.099999999999994</v>
      </c>
      <c r="K21" s="54">
        <f t="shared" si="3"/>
        <v>30.5</v>
      </c>
      <c r="L21" s="54">
        <f t="shared" si="3"/>
        <v>35.951999999999998</v>
      </c>
      <c r="M21" s="54">
        <f t="shared" si="3"/>
        <v>46.414999999999992</v>
      </c>
      <c r="N21" s="54">
        <f t="shared" si="3"/>
        <v>43.293000000000006</v>
      </c>
      <c r="O21" s="54">
        <f t="shared" si="3"/>
        <v>45.564999999999998</v>
      </c>
      <c r="P21" s="54">
        <f t="shared" si="3"/>
        <v>53.322000000000003</v>
      </c>
      <c r="Q21" s="54">
        <f t="shared" si="3"/>
        <v>57.078000000000003</v>
      </c>
      <c r="R21" s="54">
        <f t="shared" si="3"/>
        <v>61.103999999999985</v>
      </c>
      <c r="S21" s="54">
        <f t="shared" si="3"/>
        <v>65.942999999999984</v>
      </c>
      <c r="T21" s="54">
        <f t="shared" si="3"/>
        <v>66.238</v>
      </c>
      <c r="U21" s="54">
        <f t="shared" si="3"/>
        <v>68.638000000000005</v>
      </c>
      <c r="V21" s="54">
        <f t="shared" si="3"/>
        <v>68.953000000000003</v>
      </c>
    </row>
    <row r="22" spans="2:22" ht="6" customHeight="1" x14ac:dyDescent="0.2"/>
    <row r="23" spans="2:22" x14ac:dyDescent="0.2">
      <c r="B23" s="51" t="s">
        <v>41</v>
      </c>
      <c r="C23" s="52"/>
      <c r="D23" s="52"/>
      <c r="E23" s="52"/>
      <c r="F23" s="56">
        <f>F20/E19</f>
        <v>3.2482598607888595E-2</v>
      </c>
      <c r="G23" s="56">
        <f>G20/F19</f>
        <v>1.0674157303370818E-2</v>
      </c>
      <c r="H23" s="56">
        <f t="shared" ref="H23:V23" si="4">H20/G19</f>
        <v>2.1122846025569665E-2</v>
      </c>
      <c r="I23" s="56">
        <f t="shared" si="4"/>
        <v>3.2661948829613499E-2</v>
      </c>
      <c r="J23" s="56">
        <f t="shared" si="4"/>
        <v>2.5303110173958945E-2</v>
      </c>
      <c r="K23" s="56">
        <f t="shared" si="4"/>
        <v>4.3187660668380493E-2</v>
      </c>
      <c r="L23" s="56">
        <f t="shared" si="4"/>
        <v>2.6870379497289296E-2</v>
      </c>
      <c r="M23" s="56">
        <f t="shared" si="4"/>
        <v>5.0217900476117308E-2</v>
      </c>
      <c r="N23" s="56">
        <f t="shared" si="4"/>
        <v>-1.4267760436898685E-2</v>
      </c>
      <c r="O23" s="56">
        <f t="shared" si="4"/>
        <v>1.0533489728456608E-2</v>
      </c>
      <c r="P23" s="56">
        <f t="shared" si="4"/>
        <v>3.5588282522423346E-2</v>
      </c>
      <c r="Q23" s="56">
        <f t="shared" si="4"/>
        <v>1.6639937622385057E-2</v>
      </c>
      <c r="R23" s="56">
        <f t="shared" si="4"/>
        <v>1.7544165453768908E-2</v>
      </c>
      <c r="S23" s="56">
        <f t="shared" si="4"/>
        <v>2.0723413731670543E-2</v>
      </c>
      <c r="T23" s="56">
        <f t="shared" si="4"/>
        <v>1.2377120368545162E-3</v>
      </c>
      <c r="U23" s="56">
        <f t="shared" si="4"/>
        <v>1.0057073894350463E-2</v>
      </c>
      <c r="V23" s="56">
        <f t="shared" si="4"/>
        <v>1.3068478829064202E-3</v>
      </c>
    </row>
    <row r="24" spans="2:22" x14ac:dyDescent="0.2">
      <c r="B24" s="44" t="s">
        <v>42</v>
      </c>
      <c r="C24" s="1"/>
      <c r="D24" s="1"/>
      <c r="E24" s="1"/>
      <c r="F24" s="55">
        <f>F21/$E19</f>
        <v>3.2482598607888595E-2</v>
      </c>
      <c r="G24" s="55">
        <f t="shared" ref="G24:U24" si="5">G21/$E19</f>
        <v>4.3503480278422275E-2</v>
      </c>
      <c r="H24" s="55">
        <f t="shared" si="5"/>
        <v>6.5545243619489463E-2</v>
      </c>
      <c r="I24" s="55">
        <f t="shared" si="5"/>
        <v>0.10034802784222728</v>
      </c>
      <c r="J24" s="55">
        <f t="shared" si="5"/>
        <v>0.1281902552204176</v>
      </c>
      <c r="K24" s="55">
        <f t="shared" si="5"/>
        <v>0.17691415313225056</v>
      </c>
      <c r="L24" s="55">
        <f t="shared" si="5"/>
        <v>0.20853828306264499</v>
      </c>
      <c r="M24" s="55">
        <f t="shared" si="5"/>
        <v>0.26922853828306259</v>
      </c>
      <c r="N24" s="55">
        <f t="shared" si="5"/>
        <v>0.25111948955916474</v>
      </c>
      <c r="O24" s="55">
        <f t="shared" si="5"/>
        <v>0.26429814385150807</v>
      </c>
      <c r="P24" s="55">
        <f t="shared" si="5"/>
        <v>0.30929234338747102</v>
      </c>
      <c r="Q24" s="55">
        <f t="shared" si="5"/>
        <v>0.33107888631090487</v>
      </c>
      <c r="R24" s="55">
        <f t="shared" si="5"/>
        <v>0.35443155452436187</v>
      </c>
      <c r="S24" s="55">
        <f t="shared" si="5"/>
        <v>0.3824999999999999</v>
      </c>
      <c r="T24" s="55">
        <f t="shared" si="5"/>
        <v>0.38421113689095127</v>
      </c>
      <c r="U24" s="55">
        <f t="shared" si="5"/>
        <v>0.39813225058004642</v>
      </c>
      <c r="V24" s="55">
        <f t="shared" ref="V24" si="6">V21/$E19</f>
        <v>0.39995939675174014</v>
      </c>
    </row>
    <row r="25" spans="2:22" x14ac:dyDescent="0.2">
      <c r="F25" s="45"/>
    </row>
    <row r="27" spans="2:22" x14ac:dyDescent="0.2">
      <c r="B27" s="43" t="s">
        <v>47</v>
      </c>
      <c r="D27" s="4">
        <v>0.6</v>
      </c>
      <c r="E27" s="4">
        <v>0.68</v>
      </c>
      <c r="F27" s="4">
        <v>0.68</v>
      </c>
      <c r="G27" s="4">
        <v>0.68</v>
      </c>
      <c r="H27" s="4">
        <v>0.68</v>
      </c>
      <c r="I27" s="4">
        <v>0.68</v>
      </c>
      <c r="J27" s="4">
        <v>0.68</v>
      </c>
      <c r="K27" s="4">
        <v>0.68</v>
      </c>
      <c r="L27" s="4">
        <v>0.68</v>
      </c>
      <c r="M27" s="4">
        <v>0.68</v>
      </c>
      <c r="N27" s="4">
        <v>0.68</v>
      </c>
      <c r="O27" s="4">
        <v>0.68</v>
      </c>
      <c r="P27" s="4">
        <v>0.68</v>
      </c>
      <c r="Q27" s="4">
        <v>0.68</v>
      </c>
      <c r="R27" s="4">
        <v>0.68</v>
      </c>
      <c r="S27" s="4">
        <v>0.68</v>
      </c>
      <c r="T27" s="4">
        <v>0.68</v>
      </c>
      <c r="U27" s="4">
        <v>0.78</v>
      </c>
      <c r="V27" s="4">
        <v>0.78</v>
      </c>
    </row>
    <row r="29" spans="2:22" s="58" customFormat="1" ht="45" x14ac:dyDescent="0.2">
      <c r="B29" s="57" t="s">
        <v>71</v>
      </c>
      <c r="E29" s="59">
        <v>0.68</v>
      </c>
      <c r="F29" s="59">
        <f>E29+(E29*F23)</f>
        <v>0.7020881670533643</v>
      </c>
      <c r="G29" s="59">
        <f t="shared" ref="G29:V29" si="7">F29+(F29*G23)</f>
        <v>0.70958236658932716</v>
      </c>
      <c r="H29" s="59">
        <f t="shared" si="7"/>
        <v>0.72457076566125289</v>
      </c>
      <c r="I29" s="59">
        <f t="shared" si="7"/>
        <v>0.74823665893271463</v>
      </c>
      <c r="J29" s="59">
        <f t="shared" si="7"/>
        <v>0.76716937354988401</v>
      </c>
      <c r="K29" s="59">
        <f t="shared" si="7"/>
        <v>0.80030162412993044</v>
      </c>
      <c r="L29" s="59">
        <f t="shared" si="7"/>
        <v>0.82180603248259865</v>
      </c>
      <c r="M29" s="59">
        <f t="shared" si="7"/>
        <v>0.86307540603248256</v>
      </c>
      <c r="N29" s="59">
        <f t="shared" si="7"/>
        <v>0.85076125290023208</v>
      </c>
      <c r="O29" s="59">
        <f t="shared" si="7"/>
        <v>0.85972273781902553</v>
      </c>
      <c r="P29" s="59">
        <f t="shared" si="7"/>
        <v>0.89031879350348031</v>
      </c>
      <c r="Q29" s="59">
        <f t="shared" si="7"/>
        <v>0.90513364269141539</v>
      </c>
      <c r="R29" s="59">
        <f t="shared" si="7"/>
        <v>0.92101345707656612</v>
      </c>
      <c r="S29" s="59">
        <f t="shared" si="7"/>
        <v>0.94009999999999994</v>
      </c>
      <c r="T29" s="59">
        <f t="shared" si="7"/>
        <v>0.94126357308584685</v>
      </c>
      <c r="U29" s="59">
        <f t="shared" si="7"/>
        <v>0.95072993039443154</v>
      </c>
      <c r="V29" s="59">
        <f t="shared" si="7"/>
        <v>0.95197238979118326</v>
      </c>
    </row>
    <row r="30" spans="2:22" x14ac:dyDescent="0.2">
      <c r="B30" s="43" t="s">
        <v>72</v>
      </c>
      <c r="E30" s="4">
        <f>E27-E29</f>
        <v>0</v>
      </c>
      <c r="F30" s="4">
        <f t="shared" ref="F30:V30" si="8">F27-F29</f>
        <v>-2.2088167053364249E-2</v>
      </c>
      <c r="G30" s="4">
        <f t="shared" si="8"/>
        <v>-2.9582366589327114E-2</v>
      </c>
      <c r="H30" s="4">
        <f t="shared" si="8"/>
        <v>-4.4570765661252842E-2</v>
      </c>
      <c r="I30" s="4">
        <f t="shared" si="8"/>
        <v>-6.8236658932714578E-2</v>
      </c>
      <c r="J30" s="4">
        <f t="shared" si="8"/>
        <v>-8.7169373549883966E-2</v>
      </c>
      <c r="K30" s="4">
        <f t="shared" si="8"/>
        <v>-0.1203016241299304</v>
      </c>
      <c r="L30" s="4">
        <f t="shared" si="8"/>
        <v>-0.1418060324825986</v>
      </c>
      <c r="M30" s="4">
        <f t="shared" si="8"/>
        <v>-0.18307540603248251</v>
      </c>
      <c r="N30" s="4">
        <f t="shared" si="8"/>
        <v>-0.17076125290023203</v>
      </c>
      <c r="O30" s="4">
        <f t="shared" si="8"/>
        <v>-0.17972273781902548</v>
      </c>
      <c r="P30" s="4">
        <f t="shared" si="8"/>
        <v>-0.21031879350348026</v>
      </c>
      <c r="Q30" s="4">
        <f t="shared" si="8"/>
        <v>-0.22513364269141534</v>
      </c>
      <c r="R30" s="4">
        <f t="shared" si="8"/>
        <v>-0.24101345707656607</v>
      </c>
      <c r="S30" s="4">
        <f t="shared" si="8"/>
        <v>-0.26009999999999989</v>
      </c>
      <c r="T30" s="4">
        <f t="shared" si="8"/>
        <v>-0.2612635730858468</v>
      </c>
      <c r="U30" s="4">
        <f t="shared" si="8"/>
        <v>-0.17072993039443152</v>
      </c>
      <c r="V30" s="4">
        <f t="shared" si="8"/>
        <v>-0.17197238979118323</v>
      </c>
    </row>
    <row r="31" spans="2:22" x14ac:dyDescent="0.2">
      <c r="B31" s="43" t="s">
        <v>73</v>
      </c>
      <c r="F31" s="45">
        <f>F30/F29</f>
        <v>-3.1460674157303338E-2</v>
      </c>
      <c r="G31" s="45">
        <f t="shared" ref="G31:V31" si="9">G30/G29</f>
        <v>-4.1689827682045537E-2</v>
      </c>
      <c r="H31" s="45">
        <f t="shared" si="9"/>
        <v>-6.1513336962438679E-2</v>
      </c>
      <c r="I31" s="45">
        <f t="shared" si="9"/>
        <v>-9.1196626251976748E-2</v>
      </c>
      <c r="J31" s="45">
        <f t="shared" si="9"/>
        <v>-0.11362467866323904</v>
      </c>
      <c r="K31" s="45">
        <f t="shared" si="9"/>
        <v>-0.15032035485460818</v>
      </c>
      <c r="L31" s="45">
        <f t="shared" si="9"/>
        <v>-0.17255413914913223</v>
      </c>
      <c r="M31" s="45">
        <f t="shared" si="9"/>
        <v>-0.21211982725133094</v>
      </c>
      <c r="N31" s="45">
        <f t="shared" si="9"/>
        <v>-0.20071583222450426</v>
      </c>
      <c r="O31" s="45">
        <f t="shared" si="9"/>
        <v>-0.20904732411166926</v>
      </c>
      <c r="P31" s="45">
        <f t="shared" si="9"/>
        <v>-0.23622863522385942</v>
      </c>
      <c r="Q31" s="45">
        <f t="shared" si="9"/>
        <v>-0.24872972572534188</v>
      </c>
      <c r="R31" s="45">
        <f t="shared" si="9"/>
        <v>-0.26168288337673012</v>
      </c>
      <c r="S31" s="45">
        <f t="shared" si="9"/>
        <v>-0.27667269439421327</v>
      </c>
      <c r="T31" s="45">
        <f t="shared" si="9"/>
        <v>-0.27756685858916008</v>
      </c>
      <c r="U31" s="45">
        <f t="shared" si="9"/>
        <v>-0.17957773804764976</v>
      </c>
      <c r="V31" s="45">
        <f t="shared" si="9"/>
        <v>-0.18064850581318401</v>
      </c>
    </row>
    <row r="34" spans="2:22" ht="15" x14ac:dyDescent="0.2">
      <c r="B34" s="62" t="s">
        <v>48</v>
      </c>
    </row>
    <row r="36" spans="2:22" ht="15" x14ac:dyDescent="0.25">
      <c r="D36" s="2" t="str">
        <f>D5</f>
        <v>1999-2000</v>
      </c>
      <c r="E36" s="2" t="str">
        <f t="shared" ref="E36:V36" si="10">E5</f>
        <v>2000-01</v>
      </c>
      <c r="F36" s="2" t="str">
        <f t="shared" si="10"/>
        <v>2001-02</v>
      </c>
      <c r="G36" s="2" t="str">
        <f t="shared" si="10"/>
        <v>2002-03</v>
      </c>
      <c r="H36" s="2" t="str">
        <f t="shared" si="10"/>
        <v>2003-04</v>
      </c>
      <c r="I36" s="2" t="str">
        <f t="shared" si="10"/>
        <v>2004-05</v>
      </c>
      <c r="J36" s="2" t="str">
        <f t="shared" si="10"/>
        <v>2005-06</v>
      </c>
      <c r="K36" s="2" t="str">
        <f t="shared" si="10"/>
        <v>2006-07</v>
      </c>
      <c r="L36" s="2" t="str">
        <f t="shared" si="10"/>
        <v>2007-08</v>
      </c>
      <c r="M36" s="2" t="str">
        <f t="shared" si="10"/>
        <v>2008-09</v>
      </c>
      <c r="N36" s="2" t="str">
        <f t="shared" si="10"/>
        <v>2009-10</v>
      </c>
      <c r="O36" s="2" t="str">
        <f t="shared" si="10"/>
        <v>2010-11</v>
      </c>
      <c r="P36" s="2" t="str">
        <f t="shared" si="10"/>
        <v>2011-12</v>
      </c>
      <c r="Q36" s="2" t="str">
        <f t="shared" si="10"/>
        <v>2012-13</v>
      </c>
      <c r="R36" s="2" t="str">
        <f t="shared" si="10"/>
        <v>2013-14</v>
      </c>
      <c r="S36" s="2" t="str">
        <f t="shared" si="10"/>
        <v>2014-15</v>
      </c>
      <c r="T36" s="2" t="str">
        <f t="shared" si="10"/>
        <v>2015-16</v>
      </c>
      <c r="U36" s="2" t="str">
        <f t="shared" si="10"/>
        <v>2016-17</v>
      </c>
      <c r="V36" s="2" t="str">
        <f t="shared" si="10"/>
        <v>2017-18</v>
      </c>
    </row>
    <row r="37" spans="2:22" x14ac:dyDescent="0.2">
      <c r="B37" s="43" t="s">
        <v>1</v>
      </c>
      <c r="D37" s="61">
        <f>D6</f>
        <v>14650</v>
      </c>
      <c r="E37" s="61">
        <f>E6</f>
        <v>15789</v>
      </c>
      <c r="F37" s="61">
        <f>F6/F$27*F$29</f>
        <v>16726.218097447796</v>
      </c>
      <c r="G37" s="61">
        <f>G6/G$27*G$29</f>
        <v>17242.85150812065</v>
      </c>
      <c r="H37" s="61">
        <f t="shared" ref="H37:U37" si="11">H6/H$27*H$29</f>
        <v>17607.069605568446</v>
      </c>
      <c r="I37" s="61">
        <f t="shared" si="11"/>
        <v>18182.150812064967</v>
      </c>
      <c r="J37" s="61">
        <f t="shared" si="11"/>
        <v>16896.905452436196</v>
      </c>
      <c r="K37" s="61">
        <f t="shared" si="11"/>
        <v>17851.433874709975</v>
      </c>
      <c r="L37" s="61">
        <f t="shared" si="11"/>
        <v>18331.108677494198</v>
      </c>
      <c r="M37" s="61">
        <f t="shared" si="11"/>
        <v>22872.767488399069</v>
      </c>
      <c r="N37" s="61">
        <f t="shared" si="11"/>
        <v>22546.424321345708</v>
      </c>
      <c r="O37" s="61">
        <f t="shared" si="11"/>
        <v>22783.916850348029</v>
      </c>
      <c r="P37" s="61">
        <f t="shared" si="11"/>
        <v>23594.757320185614</v>
      </c>
      <c r="Q37" s="61">
        <f t="shared" si="11"/>
        <v>23987.372610208819</v>
      </c>
      <c r="R37" s="61">
        <f t="shared" si="11"/>
        <v>25788.376798143847</v>
      </c>
      <c r="S37" s="61">
        <f t="shared" si="11"/>
        <v>29559.232499999998</v>
      </c>
      <c r="T37" s="61">
        <f t="shared" si="11"/>
        <v>30418.039733178652</v>
      </c>
      <c r="U37" s="61">
        <f t="shared" si="11"/>
        <v>31549.607074781365</v>
      </c>
      <c r="V37" s="61">
        <f t="shared" ref="V37" si="12">V6/V$27*V$29</f>
        <v>31590.837611993571</v>
      </c>
    </row>
    <row r="38" spans="2:22" x14ac:dyDescent="0.2">
      <c r="B38" s="63" t="s">
        <v>2</v>
      </c>
      <c r="C38" s="64"/>
      <c r="D38" s="65">
        <f t="shared" ref="D38:E43" si="13">D7</f>
        <v>22849</v>
      </c>
      <c r="E38" s="65">
        <f t="shared" si="13"/>
        <v>27029</v>
      </c>
      <c r="F38" s="65">
        <f t="shared" ref="F38:G43" si="14">F7/F$27*F$29</f>
        <v>29124.269141531324</v>
      </c>
      <c r="G38" s="65">
        <f t="shared" si="14"/>
        <v>30023.682134570765</v>
      </c>
      <c r="H38" s="65">
        <f t="shared" ref="H38:U38" si="15">H7/H$27*H$29</f>
        <v>30657.867749419951</v>
      </c>
      <c r="I38" s="65">
        <f t="shared" si="15"/>
        <v>31659.213457076563</v>
      </c>
      <c r="J38" s="65">
        <f t="shared" si="15"/>
        <v>41660.681554524359</v>
      </c>
      <c r="K38" s="65">
        <f t="shared" si="15"/>
        <v>45275.887470997681</v>
      </c>
      <c r="L38" s="65">
        <f t="shared" si="15"/>
        <v>46492.46774941995</v>
      </c>
      <c r="M38" s="65">
        <f t="shared" si="15"/>
        <v>56174.785875870068</v>
      </c>
      <c r="N38" s="65">
        <f t="shared" si="15"/>
        <v>55373.297488399076</v>
      </c>
      <c r="O38" s="65">
        <f t="shared" si="15"/>
        <v>55956.571548723892</v>
      </c>
      <c r="P38" s="65">
        <f t="shared" si="15"/>
        <v>57947.969825986074</v>
      </c>
      <c r="Q38" s="65">
        <f t="shared" si="15"/>
        <v>58912.220429234338</v>
      </c>
      <c r="R38" s="65">
        <f t="shared" si="15"/>
        <v>68806.477401392098</v>
      </c>
      <c r="S38" s="65">
        <f t="shared" si="15"/>
        <v>78794.204999999987</v>
      </c>
      <c r="T38" s="65">
        <f t="shared" si="15"/>
        <v>81412.378016241288</v>
      </c>
      <c r="U38" s="65">
        <f t="shared" si="15"/>
        <v>84868.491786542916</v>
      </c>
      <c r="V38" s="65">
        <f t="shared" ref="V38" si="16">V7/V$27*V$29</f>
        <v>84979.401995359614</v>
      </c>
    </row>
    <row r="39" spans="2:22" x14ac:dyDescent="0.2">
      <c r="B39" s="43" t="s">
        <v>3</v>
      </c>
      <c r="D39" s="61">
        <f t="shared" si="13"/>
        <v>118483</v>
      </c>
      <c r="E39" s="61">
        <f t="shared" si="13"/>
        <v>120503</v>
      </c>
      <c r="F39" s="61">
        <f t="shared" si="14"/>
        <v>127348.46867749419</v>
      </c>
      <c r="G39" s="61">
        <f t="shared" si="14"/>
        <v>131282.12935034803</v>
      </c>
      <c r="H39" s="61">
        <f t="shared" ref="H39:U39" si="17">H8/H$27*H$29</f>
        <v>134055.18155452434</v>
      </c>
      <c r="I39" s="61">
        <f t="shared" si="17"/>
        <v>138433.68503480277</v>
      </c>
      <c r="J39" s="61">
        <f t="shared" si="17"/>
        <v>152025.89327146171</v>
      </c>
      <c r="K39" s="61">
        <f t="shared" si="17"/>
        <v>161945.74129930395</v>
      </c>
      <c r="L39" s="61">
        <f t="shared" si="17"/>
        <v>166297.28482598608</v>
      </c>
      <c r="M39" s="61">
        <f t="shared" si="17"/>
        <v>192998.8915313225</v>
      </c>
      <c r="N39" s="61">
        <f t="shared" si="17"/>
        <v>190245.22958236659</v>
      </c>
      <c r="O39" s="61">
        <f t="shared" si="17"/>
        <v>192249.17575406033</v>
      </c>
      <c r="P39" s="61">
        <f t="shared" si="17"/>
        <v>199090.99373549884</v>
      </c>
      <c r="Q39" s="61">
        <f t="shared" si="17"/>
        <v>202403.8554524362</v>
      </c>
      <c r="R39" s="61">
        <f t="shared" si="17"/>
        <v>210779.34737819023</v>
      </c>
      <c r="S39" s="61">
        <f t="shared" si="17"/>
        <v>247532.47749999995</v>
      </c>
      <c r="T39" s="61">
        <f t="shared" si="17"/>
        <v>257160.1292227378</v>
      </c>
      <c r="U39" s="61">
        <f t="shared" si="17"/>
        <v>269028.53595752275</v>
      </c>
      <c r="V39" s="61">
        <f t="shared" ref="V39" si="18">V8/V$27*V$29</f>
        <v>269380.11533018027</v>
      </c>
    </row>
    <row r="40" spans="2:22" x14ac:dyDescent="0.2">
      <c r="B40" s="63" t="s">
        <v>4</v>
      </c>
      <c r="C40" s="64"/>
      <c r="D40" s="65">
        <f t="shared" si="13"/>
        <v>461</v>
      </c>
      <c r="E40" s="65">
        <f t="shared" si="13"/>
        <v>590</v>
      </c>
      <c r="F40" s="65">
        <f t="shared" si="14"/>
        <v>644.26914153132248</v>
      </c>
      <c r="G40" s="65">
        <f t="shared" si="14"/>
        <v>663.6682134570766</v>
      </c>
      <c r="H40" s="65">
        <f t="shared" ref="H40:U40" si="19">H9/H$27*H$29</f>
        <v>677.68677494199528</v>
      </c>
      <c r="I40" s="65">
        <f t="shared" si="19"/>
        <v>699.82134570765663</v>
      </c>
      <c r="J40" s="65">
        <f t="shared" si="19"/>
        <v>732.19547563805099</v>
      </c>
      <c r="K40" s="65">
        <f t="shared" si="19"/>
        <v>775.58642691415309</v>
      </c>
      <c r="L40" s="65">
        <f t="shared" si="19"/>
        <v>796.42672853828299</v>
      </c>
      <c r="M40" s="65">
        <f t="shared" si="19"/>
        <v>930.34451856148473</v>
      </c>
      <c r="N40" s="65">
        <f t="shared" si="19"/>
        <v>917.07058584686763</v>
      </c>
      <c r="O40" s="65">
        <f t="shared" si="19"/>
        <v>926.73053944315529</v>
      </c>
      <c r="P40" s="65">
        <f t="shared" si="19"/>
        <v>959.71128770301607</v>
      </c>
      <c r="Q40" s="65">
        <f t="shared" si="19"/>
        <v>975.68082366589317</v>
      </c>
      <c r="R40" s="65">
        <f t="shared" si="19"/>
        <v>941.32993039443147</v>
      </c>
      <c r="S40" s="65">
        <f t="shared" si="19"/>
        <v>1065.9074999999998</v>
      </c>
      <c r="T40" s="65">
        <f t="shared" si="19"/>
        <v>1089.3741647331785</v>
      </c>
      <c r="U40" s="65">
        <f t="shared" si="19"/>
        <v>1125.0304176334105</v>
      </c>
      <c r="V40" s="65">
        <f t="shared" ref="V40" si="20">V9/V$27*V$29</f>
        <v>1126.5006612529</v>
      </c>
    </row>
    <row r="41" spans="2:22" x14ac:dyDescent="0.2">
      <c r="B41" s="43" t="s">
        <v>5</v>
      </c>
      <c r="D41" s="61">
        <f t="shared" si="13"/>
        <v>8681</v>
      </c>
      <c r="E41" s="61">
        <f t="shared" si="13"/>
        <v>9773</v>
      </c>
      <c r="F41" s="61">
        <f t="shared" si="14"/>
        <v>10415.68445475638</v>
      </c>
      <c r="G41" s="61">
        <f t="shared" si="14"/>
        <v>10737.650812064965</v>
      </c>
      <c r="H41" s="61">
        <f t="shared" ref="H41:U41" si="21">H10/H$27*H$29</f>
        <v>10964.460556844548</v>
      </c>
      <c r="I41" s="61">
        <f t="shared" si="21"/>
        <v>11322.581206496519</v>
      </c>
      <c r="J41" s="61">
        <f t="shared" si="21"/>
        <v>10925.394431554523</v>
      </c>
      <c r="K41" s="61">
        <f t="shared" si="21"/>
        <v>11618.496519721577</v>
      </c>
      <c r="L41" s="61">
        <f t="shared" si="21"/>
        <v>11930.68993039443</v>
      </c>
      <c r="M41" s="61">
        <f t="shared" si="21"/>
        <v>14139.205916473316</v>
      </c>
      <c r="N41" s="61">
        <f t="shared" si="21"/>
        <v>13937.471113689096</v>
      </c>
      <c r="O41" s="61">
        <f t="shared" si="21"/>
        <v>14084.2813225058</v>
      </c>
      <c r="P41" s="61">
        <f t="shared" si="21"/>
        <v>14585.516705336428</v>
      </c>
      <c r="Q41" s="61">
        <f t="shared" si="21"/>
        <v>14828.218793503482</v>
      </c>
      <c r="R41" s="61">
        <f t="shared" si="21"/>
        <v>15364.671554524361</v>
      </c>
      <c r="S41" s="61">
        <f t="shared" si="21"/>
        <v>17496.919999999998</v>
      </c>
      <c r="T41" s="61">
        <f t="shared" si="21"/>
        <v>18147.008004640371</v>
      </c>
      <c r="U41" s="61">
        <f t="shared" si="21"/>
        <v>18976.813187578082</v>
      </c>
      <c r="V41" s="61">
        <f t="shared" ref="V41" si="22">V10/V$27*V$29</f>
        <v>19001.612995716579</v>
      </c>
    </row>
    <row r="42" spans="2:22" x14ac:dyDescent="0.2">
      <c r="B42" s="63" t="s">
        <v>6</v>
      </c>
      <c r="C42" s="64"/>
      <c r="D42" s="65">
        <f t="shared" si="13"/>
        <v>13399</v>
      </c>
      <c r="E42" s="65">
        <f t="shared" si="13"/>
        <v>14891</v>
      </c>
      <c r="F42" s="65">
        <f t="shared" si="14"/>
        <v>15928.109048723896</v>
      </c>
      <c r="G42" s="65">
        <f t="shared" si="14"/>
        <v>16420.570765661254</v>
      </c>
      <c r="H42" s="65">
        <f t="shared" ref="H42:U42" si="23">H11/H$27*H$29</f>
        <v>16767.419953596287</v>
      </c>
      <c r="I42" s="65">
        <f t="shared" si="23"/>
        <v>17315.076566125288</v>
      </c>
      <c r="J42" s="65">
        <f t="shared" si="23"/>
        <v>17969.81438515081</v>
      </c>
      <c r="K42" s="65">
        <f t="shared" si="23"/>
        <v>19310.807424593968</v>
      </c>
      <c r="L42" s="65">
        <f t="shared" si="23"/>
        <v>19829.696148491879</v>
      </c>
      <c r="M42" s="65">
        <f t="shared" si="23"/>
        <v>23223.074564965194</v>
      </c>
      <c r="N42" s="65">
        <f t="shared" si="23"/>
        <v>22891.733300464039</v>
      </c>
      <c r="O42" s="65">
        <f t="shared" si="23"/>
        <v>23132.863138051041</v>
      </c>
      <c r="P42" s="65">
        <f t="shared" si="23"/>
        <v>23956.122006960555</v>
      </c>
      <c r="Q42" s="65">
        <f t="shared" si="23"/>
        <v>24354.750382830625</v>
      </c>
      <c r="R42" s="65">
        <f t="shared" si="23"/>
        <v>26466.947006960552</v>
      </c>
      <c r="S42" s="65">
        <f t="shared" si="23"/>
        <v>32017.317499999997</v>
      </c>
      <c r="T42" s="65">
        <f t="shared" si="23"/>
        <v>33398.246310904869</v>
      </c>
      <c r="U42" s="65">
        <f t="shared" si="23"/>
        <v>35083.153316080665</v>
      </c>
      <c r="V42" s="65">
        <f t="shared" ref="V42" si="24">V11/V$27*V$29</f>
        <v>35129.001660717469</v>
      </c>
    </row>
    <row r="43" spans="2:22" x14ac:dyDescent="0.2">
      <c r="B43" s="43" t="s">
        <v>7</v>
      </c>
      <c r="D43" s="61">
        <f t="shared" si="13"/>
        <v>5894</v>
      </c>
      <c r="E43" s="61">
        <f t="shared" si="13"/>
        <v>5930</v>
      </c>
      <c r="F43" s="61">
        <f t="shared" si="14"/>
        <v>6240.3248259860793</v>
      </c>
      <c r="G43" s="61">
        <f t="shared" si="14"/>
        <v>6433.1989559164731</v>
      </c>
      <c r="H43" s="61">
        <f t="shared" ref="H43:U43" si="25">H12/H$27*H$29</f>
        <v>6569.0864269141521</v>
      </c>
      <c r="I43" s="61">
        <f t="shared" si="25"/>
        <v>6783.6455916473315</v>
      </c>
      <c r="J43" s="61">
        <f t="shared" si="25"/>
        <v>7451.6966357308584</v>
      </c>
      <c r="K43" s="61">
        <f t="shared" si="25"/>
        <v>7927.6937354988404</v>
      </c>
      <c r="L43" s="61">
        <f t="shared" si="25"/>
        <v>8140.7138747099771</v>
      </c>
      <c r="M43" s="61">
        <f t="shared" si="25"/>
        <v>9118.1378190255218</v>
      </c>
      <c r="N43" s="61">
        <f t="shared" si="25"/>
        <v>8988.0424129930398</v>
      </c>
      <c r="O43" s="61">
        <f t="shared" si="25"/>
        <v>9082.7178654292347</v>
      </c>
      <c r="P43" s="61">
        <f t="shared" si="25"/>
        <v>9405.9561948955907</v>
      </c>
      <c r="Q43" s="61">
        <f t="shared" si="25"/>
        <v>9562.4707192575406</v>
      </c>
      <c r="R43" s="61">
        <f t="shared" si="25"/>
        <v>9856.198422273781</v>
      </c>
      <c r="S43" s="61">
        <f t="shared" si="25"/>
        <v>11792.724999999999</v>
      </c>
      <c r="T43" s="61">
        <f t="shared" si="25"/>
        <v>12379.000197215777</v>
      </c>
      <c r="U43" s="61">
        <f t="shared" si="25"/>
        <v>13152.982921649116</v>
      </c>
      <c r="V43" s="61">
        <f t="shared" ref="V43" si="26">V12/V$27*V$29</f>
        <v>13170.171869534177</v>
      </c>
    </row>
    <row r="44" spans="2:22" ht="6.75" customHeight="1" x14ac:dyDescent="0.2">
      <c r="B44" s="44"/>
    </row>
    <row r="45" spans="2:22" ht="15" x14ac:dyDescent="0.25">
      <c r="B45" s="46" t="s">
        <v>8</v>
      </c>
      <c r="D45" s="47">
        <f>SUM(D37:D44)</f>
        <v>184417</v>
      </c>
      <c r="E45" s="47">
        <f>SUM(E37:E44)</f>
        <v>194505</v>
      </c>
      <c r="F45" s="47">
        <f>SUM(F37:F44)</f>
        <v>206427.34338747099</v>
      </c>
      <c r="G45" s="47">
        <f t="shared" ref="G45:U45" si="27">SUM(G37:G44)</f>
        <v>212803.75174013921</v>
      </c>
      <c r="H45" s="47">
        <f t="shared" si="27"/>
        <v>217298.77262180971</v>
      </c>
      <c r="I45" s="47">
        <f t="shared" si="27"/>
        <v>224396.17401392109</v>
      </c>
      <c r="J45" s="47">
        <f t="shared" si="27"/>
        <v>247662.58120649654</v>
      </c>
      <c r="K45" s="47">
        <f t="shared" si="27"/>
        <v>264705.64675174013</v>
      </c>
      <c r="L45" s="47">
        <f t="shared" si="27"/>
        <v>271818.38793503481</v>
      </c>
      <c r="M45" s="47">
        <f t="shared" si="27"/>
        <v>319457.20771461719</v>
      </c>
      <c r="N45" s="47">
        <f t="shared" si="27"/>
        <v>314899.26880510437</v>
      </c>
      <c r="O45" s="47">
        <f t="shared" si="27"/>
        <v>318216.25701856147</v>
      </c>
      <c r="P45" s="47">
        <f t="shared" si="27"/>
        <v>329541.02707656618</v>
      </c>
      <c r="Q45" s="47">
        <f t="shared" si="27"/>
        <v>335024.5692111369</v>
      </c>
      <c r="R45" s="47">
        <f t="shared" si="27"/>
        <v>358003.3484918793</v>
      </c>
      <c r="S45" s="47">
        <f t="shared" si="27"/>
        <v>418258.78499999986</v>
      </c>
      <c r="T45" s="47">
        <f t="shared" si="27"/>
        <v>434004.17564965185</v>
      </c>
      <c r="U45" s="47">
        <f t="shared" si="27"/>
        <v>453784.61466178834</v>
      </c>
      <c r="V45" s="47">
        <f t="shared" ref="V45" si="28">SUM(V37:V44)</f>
        <v>454377.64212475455</v>
      </c>
    </row>
  </sheetData>
  <printOptions horizontalCentered="1"/>
  <pageMargins left="0.25" right="0.25" top="0.75" bottom="0.75" header="0.3" footer="0.3"/>
  <pageSetup paperSize="5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zoomScale="97" zoomScaleNormal="97" workbookViewId="0">
      <selection activeCell="C15" sqref="C15"/>
    </sheetView>
  </sheetViews>
  <sheetFormatPr defaultColWidth="7.75" defaultRowHeight="12.75" x14ac:dyDescent="0.2"/>
  <cols>
    <col min="1" max="1" width="16.375" style="6" customWidth="1"/>
    <col min="2" max="2" width="21.5" style="6" customWidth="1"/>
    <col min="3" max="4" width="28.5" style="6" customWidth="1"/>
    <col min="5" max="5" width="47.5" style="6" customWidth="1"/>
    <col min="6" max="6" width="5" style="12" customWidth="1"/>
    <col min="7" max="256" width="7.75" style="6"/>
    <col min="257" max="257" width="16.375" style="6" customWidth="1"/>
    <col min="258" max="258" width="21.5" style="6" customWidth="1"/>
    <col min="259" max="260" width="28.5" style="6" customWidth="1"/>
    <col min="261" max="261" width="47.5" style="6" customWidth="1"/>
    <col min="262" max="262" width="5" style="6" customWidth="1"/>
    <col min="263" max="512" width="7.75" style="6"/>
    <col min="513" max="513" width="16.375" style="6" customWidth="1"/>
    <col min="514" max="514" width="21.5" style="6" customWidth="1"/>
    <col min="515" max="516" width="28.5" style="6" customWidth="1"/>
    <col min="517" max="517" width="47.5" style="6" customWidth="1"/>
    <col min="518" max="518" width="5" style="6" customWidth="1"/>
    <col min="519" max="768" width="7.75" style="6"/>
    <col min="769" max="769" width="16.375" style="6" customWidth="1"/>
    <col min="770" max="770" width="21.5" style="6" customWidth="1"/>
    <col min="771" max="772" width="28.5" style="6" customWidth="1"/>
    <col min="773" max="773" width="47.5" style="6" customWidth="1"/>
    <col min="774" max="774" width="5" style="6" customWidth="1"/>
    <col min="775" max="1024" width="7.75" style="6"/>
    <col min="1025" max="1025" width="16.375" style="6" customWidth="1"/>
    <col min="1026" max="1026" width="21.5" style="6" customWidth="1"/>
    <col min="1027" max="1028" width="28.5" style="6" customWidth="1"/>
    <col min="1029" max="1029" width="47.5" style="6" customWidth="1"/>
    <col min="1030" max="1030" width="5" style="6" customWidth="1"/>
    <col min="1031" max="1280" width="7.75" style="6"/>
    <col min="1281" max="1281" width="16.375" style="6" customWidth="1"/>
    <col min="1282" max="1282" width="21.5" style="6" customWidth="1"/>
    <col min="1283" max="1284" width="28.5" style="6" customWidth="1"/>
    <col min="1285" max="1285" width="47.5" style="6" customWidth="1"/>
    <col min="1286" max="1286" width="5" style="6" customWidth="1"/>
    <col min="1287" max="1536" width="7.75" style="6"/>
    <col min="1537" max="1537" width="16.375" style="6" customWidth="1"/>
    <col min="1538" max="1538" width="21.5" style="6" customWidth="1"/>
    <col min="1539" max="1540" width="28.5" style="6" customWidth="1"/>
    <col min="1541" max="1541" width="47.5" style="6" customWidth="1"/>
    <col min="1542" max="1542" width="5" style="6" customWidth="1"/>
    <col min="1543" max="1792" width="7.75" style="6"/>
    <col min="1793" max="1793" width="16.375" style="6" customWidth="1"/>
    <col min="1794" max="1794" width="21.5" style="6" customWidth="1"/>
    <col min="1795" max="1796" width="28.5" style="6" customWidth="1"/>
    <col min="1797" max="1797" width="47.5" style="6" customWidth="1"/>
    <col min="1798" max="1798" width="5" style="6" customWidth="1"/>
    <col min="1799" max="2048" width="7.75" style="6"/>
    <col min="2049" max="2049" width="16.375" style="6" customWidth="1"/>
    <col min="2050" max="2050" width="21.5" style="6" customWidth="1"/>
    <col min="2051" max="2052" width="28.5" style="6" customWidth="1"/>
    <col min="2053" max="2053" width="47.5" style="6" customWidth="1"/>
    <col min="2054" max="2054" width="5" style="6" customWidth="1"/>
    <col min="2055" max="2304" width="7.75" style="6"/>
    <col min="2305" max="2305" width="16.375" style="6" customWidth="1"/>
    <col min="2306" max="2306" width="21.5" style="6" customWidth="1"/>
    <col min="2307" max="2308" width="28.5" style="6" customWidth="1"/>
    <col min="2309" max="2309" width="47.5" style="6" customWidth="1"/>
    <col min="2310" max="2310" width="5" style="6" customWidth="1"/>
    <col min="2311" max="2560" width="7.75" style="6"/>
    <col min="2561" max="2561" width="16.375" style="6" customWidth="1"/>
    <col min="2562" max="2562" width="21.5" style="6" customWidth="1"/>
    <col min="2563" max="2564" width="28.5" style="6" customWidth="1"/>
    <col min="2565" max="2565" width="47.5" style="6" customWidth="1"/>
    <col min="2566" max="2566" width="5" style="6" customWidth="1"/>
    <col min="2567" max="2816" width="7.75" style="6"/>
    <col min="2817" max="2817" width="16.375" style="6" customWidth="1"/>
    <col min="2818" max="2818" width="21.5" style="6" customWidth="1"/>
    <col min="2819" max="2820" width="28.5" style="6" customWidth="1"/>
    <col min="2821" max="2821" width="47.5" style="6" customWidth="1"/>
    <col min="2822" max="2822" width="5" style="6" customWidth="1"/>
    <col min="2823" max="3072" width="7.75" style="6"/>
    <col min="3073" max="3073" width="16.375" style="6" customWidth="1"/>
    <col min="3074" max="3074" width="21.5" style="6" customWidth="1"/>
    <col min="3075" max="3076" width="28.5" style="6" customWidth="1"/>
    <col min="3077" max="3077" width="47.5" style="6" customWidth="1"/>
    <col min="3078" max="3078" width="5" style="6" customWidth="1"/>
    <col min="3079" max="3328" width="7.75" style="6"/>
    <col min="3329" max="3329" width="16.375" style="6" customWidth="1"/>
    <col min="3330" max="3330" width="21.5" style="6" customWidth="1"/>
    <col min="3331" max="3332" width="28.5" style="6" customWidth="1"/>
    <col min="3333" max="3333" width="47.5" style="6" customWidth="1"/>
    <col min="3334" max="3334" width="5" style="6" customWidth="1"/>
    <col min="3335" max="3584" width="7.75" style="6"/>
    <col min="3585" max="3585" width="16.375" style="6" customWidth="1"/>
    <col min="3586" max="3586" width="21.5" style="6" customWidth="1"/>
    <col min="3587" max="3588" width="28.5" style="6" customWidth="1"/>
    <col min="3589" max="3589" width="47.5" style="6" customWidth="1"/>
    <col min="3590" max="3590" width="5" style="6" customWidth="1"/>
    <col min="3591" max="3840" width="7.75" style="6"/>
    <col min="3841" max="3841" width="16.375" style="6" customWidth="1"/>
    <col min="3842" max="3842" width="21.5" style="6" customWidth="1"/>
    <col min="3843" max="3844" width="28.5" style="6" customWidth="1"/>
    <col min="3845" max="3845" width="47.5" style="6" customWidth="1"/>
    <col min="3846" max="3846" width="5" style="6" customWidth="1"/>
    <col min="3847" max="4096" width="7.75" style="6"/>
    <col min="4097" max="4097" width="16.375" style="6" customWidth="1"/>
    <col min="4098" max="4098" width="21.5" style="6" customWidth="1"/>
    <col min="4099" max="4100" width="28.5" style="6" customWidth="1"/>
    <col min="4101" max="4101" width="47.5" style="6" customWidth="1"/>
    <col min="4102" max="4102" width="5" style="6" customWidth="1"/>
    <col min="4103" max="4352" width="7.75" style="6"/>
    <col min="4353" max="4353" width="16.375" style="6" customWidth="1"/>
    <col min="4354" max="4354" width="21.5" style="6" customWidth="1"/>
    <col min="4355" max="4356" width="28.5" style="6" customWidth="1"/>
    <col min="4357" max="4357" width="47.5" style="6" customWidth="1"/>
    <col min="4358" max="4358" width="5" style="6" customWidth="1"/>
    <col min="4359" max="4608" width="7.75" style="6"/>
    <col min="4609" max="4609" width="16.375" style="6" customWidth="1"/>
    <col min="4610" max="4610" width="21.5" style="6" customWidth="1"/>
    <col min="4611" max="4612" width="28.5" style="6" customWidth="1"/>
    <col min="4613" max="4613" width="47.5" style="6" customWidth="1"/>
    <col min="4614" max="4614" width="5" style="6" customWidth="1"/>
    <col min="4615" max="4864" width="7.75" style="6"/>
    <col min="4865" max="4865" width="16.375" style="6" customWidth="1"/>
    <col min="4866" max="4866" width="21.5" style="6" customWidth="1"/>
    <col min="4867" max="4868" width="28.5" style="6" customWidth="1"/>
    <col min="4869" max="4869" width="47.5" style="6" customWidth="1"/>
    <col min="4870" max="4870" width="5" style="6" customWidth="1"/>
    <col min="4871" max="5120" width="7.75" style="6"/>
    <col min="5121" max="5121" width="16.375" style="6" customWidth="1"/>
    <col min="5122" max="5122" width="21.5" style="6" customWidth="1"/>
    <col min="5123" max="5124" width="28.5" style="6" customWidth="1"/>
    <col min="5125" max="5125" width="47.5" style="6" customWidth="1"/>
    <col min="5126" max="5126" width="5" style="6" customWidth="1"/>
    <col min="5127" max="5376" width="7.75" style="6"/>
    <col min="5377" max="5377" width="16.375" style="6" customWidth="1"/>
    <col min="5378" max="5378" width="21.5" style="6" customWidth="1"/>
    <col min="5379" max="5380" width="28.5" style="6" customWidth="1"/>
    <col min="5381" max="5381" width="47.5" style="6" customWidth="1"/>
    <col min="5382" max="5382" width="5" style="6" customWidth="1"/>
    <col min="5383" max="5632" width="7.75" style="6"/>
    <col min="5633" max="5633" width="16.375" style="6" customWidth="1"/>
    <col min="5634" max="5634" width="21.5" style="6" customWidth="1"/>
    <col min="5635" max="5636" width="28.5" style="6" customWidth="1"/>
    <col min="5637" max="5637" width="47.5" style="6" customWidth="1"/>
    <col min="5638" max="5638" width="5" style="6" customWidth="1"/>
    <col min="5639" max="5888" width="7.75" style="6"/>
    <col min="5889" max="5889" width="16.375" style="6" customWidth="1"/>
    <col min="5890" max="5890" width="21.5" style="6" customWidth="1"/>
    <col min="5891" max="5892" width="28.5" style="6" customWidth="1"/>
    <col min="5893" max="5893" width="47.5" style="6" customWidth="1"/>
    <col min="5894" max="5894" width="5" style="6" customWidth="1"/>
    <col min="5895" max="6144" width="7.75" style="6"/>
    <col min="6145" max="6145" width="16.375" style="6" customWidth="1"/>
    <col min="6146" max="6146" width="21.5" style="6" customWidth="1"/>
    <col min="6147" max="6148" width="28.5" style="6" customWidth="1"/>
    <col min="6149" max="6149" width="47.5" style="6" customWidth="1"/>
    <col min="6150" max="6150" width="5" style="6" customWidth="1"/>
    <col min="6151" max="6400" width="7.75" style="6"/>
    <col min="6401" max="6401" width="16.375" style="6" customWidth="1"/>
    <col min="6402" max="6402" width="21.5" style="6" customWidth="1"/>
    <col min="6403" max="6404" width="28.5" style="6" customWidth="1"/>
    <col min="6405" max="6405" width="47.5" style="6" customWidth="1"/>
    <col min="6406" max="6406" width="5" style="6" customWidth="1"/>
    <col min="6407" max="6656" width="7.75" style="6"/>
    <col min="6657" max="6657" width="16.375" style="6" customWidth="1"/>
    <col min="6658" max="6658" width="21.5" style="6" customWidth="1"/>
    <col min="6659" max="6660" width="28.5" style="6" customWidth="1"/>
    <col min="6661" max="6661" width="47.5" style="6" customWidth="1"/>
    <col min="6662" max="6662" width="5" style="6" customWidth="1"/>
    <col min="6663" max="6912" width="7.75" style="6"/>
    <col min="6913" max="6913" width="16.375" style="6" customWidth="1"/>
    <col min="6914" max="6914" width="21.5" style="6" customWidth="1"/>
    <col min="6915" max="6916" width="28.5" style="6" customWidth="1"/>
    <col min="6917" max="6917" width="47.5" style="6" customWidth="1"/>
    <col min="6918" max="6918" width="5" style="6" customWidth="1"/>
    <col min="6919" max="7168" width="7.75" style="6"/>
    <col min="7169" max="7169" width="16.375" style="6" customWidth="1"/>
    <col min="7170" max="7170" width="21.5" style="6" customWidth="1"/>
    <col min="7171" max="7172" width="28.5" style="6" customWidth="1"/>
    <col min="7173" max="7173" width="47.5" style="6" customWidth="1"/>
    <col min="7174" max="7174" width="5" style="6" customWidth="1"/>
    <col min="7175" max="7424" width="7.75" style="6"/>
    <col min="7425" max="7425" width="16.375" style="6" customWidth="1"/>
    <col min="7426" max="7426" width="21.5" style="6" customWidth="1"/>
    <col min="7427" max="7428" width="28.5" style="6" customWidth="1"/>
    <col min="7429" max="7429" width="47.5" style="6" customWidth="1"/>
    <col min="7430" max="7430" width="5" style="6" customWidth="1"/>
    <col min="7431" max="7680" width="7.75" style="6"/>
    <col min="7681" max="7681" width="16.375" style="6" customWidth="1"/>
    <col min="7682" max="7682" width="21.5" style="6" customWidth="1"/>
    <col min="7683" max="7684" width="28.5" style="6" customWidth="1"/>
    <col min="7685" max="7685" width="47.5" style="6" customWidth="1"/>
    <col min="7686" max="7686" width="5" style="6" customWidth="1"/>
    <col min="7687" max="7936" width="7.75" style="6"/>
    <col min="7937" max="7937" width="16.375" style="6" customWidth="1"/>
    <col min="7938" max="7938" width="21.5" style="6" customWidth="1"/>
    <col min="7939" max="7940" width="28.5" style="6" customWidth="1"/>
    <col min="7941" max="7941" width="47.5" style="6" customWidth="1"/>
    <col min="7942" max="7942" width="5" style="6" customWidth="1"/>
    <col min="7943" max="8192" width="7.75" style="6"/>
    <col min="8193" max="8193" width="16.375" style="6" customWidth="1"/>
    <col min="8194" max="8194" width="21.5" style="6" customWidth="1"/>
    <col min="8195" max="8196" width="28.5" style="6" customWidth="1"/>
    <col min="8197" max="8197" width="47.5" style="6" customWidth="1"/>
    <col min="8198" max="8198" width="5" style="6" customWidth="1"/>
    <col min="8199" max="8448" width="7.75" style="6"/>
    <col min="8449" max="8449" width="16.375" style="6" customWidth="1"/>
    <col min="8450" max="8450" width="21.5" style="6" customWidth="1"/>
    <col min="8451" max="8452" width="28.5" style="6" customWidth="1"/>
    <col min="8453" max="8453" width="47.5" style="6" customWidth="1"/>
    <col min="8454" max="8454" width="5" style="6" customWidth="1"/>
    <col min="8455" max="8704" width="7.75" style="6"/>
    <col min="8705" max="8705" width="16.375" style="6" customWidth="1"/>
    <col min="8706" max="8706" width="21.5" style="6" customWidth="1"/>
    <col min="8707" max="8708" width="28.5" style="6" customWidth="1"/>
    <col min="8709" max="8709" width="47.5" style="6" customWidth="1"/>
    <col min="8710" max="8710" width="5" style="6" customWidth="1"/>
    <col min="8711" max="8960" width="7.75" style="6"/>
    <col min="8961" max="8961" width="16.375" style="6" customWidth="1"/>
    <col min="8962" max="8962" width="21.5" style="6" customWidth="1"/>
    <col min="8963" max="8964" width="28.5" style="6" customWidth="1"/>
    <col min="8965" max="8965" width="47.5" style="6" customWidth="1"/>
    <col min="8966" max="8966" width="5" style="6" customWidth="1"/>
    <col min="8967" max="9216" width="7.75" style="6"/>
    <col min="9217" max="9217" width="16.375" style="6" customWidth="1"/>
    <col min="9218" max="9218" width="21.5" style="6" customWidth="1"/>
    <col min="9219" max="9220" width="28.5" style="6" customWidth="1"/>
    <col min="9221" max="9221" width="47.5" style="6" customWidth="1"/>
    <col min="9222" max="9222" width="5" style="6" customWidth="1"/>
    <col min="9223" max="9472" width="7.75" style="6"/>
    <col min="9473" max="9473" width="16.375" style="6" customWidth="1"/>
    <col min="9474" max="9474" width="21.5" style="6" customWidth="1"/>
    <col min="9475" max="9476" width="28.5" style="6" customWidth="1"/>
    <col min="9477" max="9477" width="47.5" style="6" customWidth="1"/>
    <col min="9478" max="9478" width="5" style="6" customWidth="1"/>
    <col min="9479" max="9728" width="7.75" style="6"/>
    <col min="9729" max="9729" width="16.375" style="6" customWidth="1"/>
    <col min="9730" max="9730" width="21.5" style="6" customWidth="1"/>
    <col min="9731" max="9732" width="28.5" style="6" customWidth="1"/>
    <col min="9733" max="9733" width="47.5" style="6" customWidth="1"/>
    <col min="9734" max="9734" width="5" style="6" customWidth="1"/>
    <col min="9735" max="9984" width="7.75" style="6"/>
    <col min="9985" max="9985" width="16.375" style="6" customWidth="1"/>
    <col min="9986" max="9986" width="21.5" style="6" customWidth="1"/>
    <col min="9987" max="9988" width="28.5" style="6" customWidth="1"/>
    <col min="9989" max="9989" width="47.5" style="6" customWidth="1"/>
    <col min="9990" max="9990" width="5" style="6" customWidth="1"/>
    <col min="9991" max="10240" width="7.75" style="6"/>
    <col min="10241" max="10241" width="16.375" style="6" customWidth="1"/>
    <col min="10242" max="10242" width="21.5" style="6" customWidth="1"/>
    <col min="10243" max="10244" width="28.5" style="6" customWidth="1"/>
    <col min="10245" max="10245" width="47.5" style="6" customWidth="1"/>
    <col min="10246" max="10246" width="5" style="6" customWidth="1"/>
    <col min="10247" max="10496" width="7.75" style="6"/>
    <col min="10497" max="10497" width="16.375" style="6" customWidth="1"/>
    <col min="10498" max="10498" width="21.5" style="6" customWidth="1"/>
    <col min="10499" max="10500" width="28.5" style="6" customWidth="1"/>
    <col min="10501" max="10501" width="47.5" style="6" customWidth="1"/>
    <col min="10502" max="10502" width="5" style="6" customWidth="1"/>
    <col min="10503" max="10752" width="7.75" style="6"/>
    <col min="10753" max="10753" width="16.375" style="6" customWidth="1"/>
    <col min="10754" max="10754" width="21.5" style="6" customWidth="1"/>
    <col min="10755" max="10756" width="28.5" style="6" customWidth="1"/>
    <col min="10757" max="10757" width="47.5" style="6" customWidth="1"/>
    <col min="10758" max="10758" width="5" style="6" customWidth="1"/>
    <col min="10759" max="11008" width="7.75" style="6"/>
    <col min="11009" max="11009" width="16.375" style="6" customWidth="1"/>
    <col min="11010" max="11010" width="21.5" style="6" customWidth="1"/>
    <col min="11011" max="11012" width="28.5" style="6" customWidth="1"/>
    <col min="11013" max="11013" width="47.5" style="6" customWidth="1"/>
    <col min="11014" max="11014" width="5" style="6" customWidth="1"/>
    <col min="11015" max="11264" width="7.75" style="6"/>
    <col min="11265" max="11265" width="16.375" style="6" customWidth="1"/>
    <col min="11266" max="11266" width="21.5" style="6" customWidth="1"/>
    <col min="11267" max="11268" width="28.5" style="6" customWidth="1"/>
    <col min="11269" max="11269" width="47.5" style="6" customWidth="1"/>
    <col min="11270" max="11270" width="5" style="6" customWidth="1"/>
    <col min="11271" max="11520" width="7.75" style="6"/>
    <col min="11521" max="11521" width="16.375" style="6" customWidth="1"/>
    <col min="11522" max="11522" width="21.5" style="6" customWidth="1"/>
    <col min="11523" max="11524" width="28.5" style="6" customWidth="1"/>
    <col min="11525" max="11525" width="47.5" style="6" customWidth="1"/>
    <col min="11526" max="11526" width="5" style="6" customWidth="1"/>
    <col min="11527" max="11776" width="7.75" style="6"/>
    <col min="11777" max="11777" width="16.375" style="6" customWidth="1"/>
    <col min="11778" max="11778" width="21.5" style="6" customWidth="1"/>
    <col min="11779" max="11780" width="28.5" style="6" customWidth="1"/>
    <col min="11781" max="11781" width="47.5" style="6" customWidth="1"/>
    <col min="11782" max="11782" width="5" style="6" customWidth="1"/>
    <col min="11783" max="12032" width="7.75" style="6"/>
    <col min="12033" max="12033" width="16.375" style="6" customWidth="1"/>
    <col min="12034" max="12034" width="21.5" style="6" customWidth="1"/>
    <col min="12035" max="12036" width="28.5" style="6" customWidth="1"/>
    <col min="12037" max="12037" width="47.5" style="6" customWidth="1"/>
    <col min="12038" max="12038" width="5" style="6" customWidth="1"/>
    <col min="12039" max="12288" width="7.75" style="6"/>
    <col min="12289" max="12289" width="16.375" style="6" customWidth="1"/>
    <col min="12290" max="12290" width="21.5" style="6" customWidth="1"/>
    <col min="12291" max="12292" width="28.5" style="6" customWidth="1"/>
    <col min="12293" max="12293" width="47.5" style="6" customWidth="1"/>
    <col min="12294" max="12294" width="5" style="6" customWidth="1"/>
    <col min="12295" max="12544" width="7.75" style="6"/>
    <col min="12545" max="12545" width="16.375" style="6" customWidth="1"/>
    <col min="12546" max="12546" width="21.5" style="6" customWidth="1"/>
    <col min="12547" max="12548" width="28.5" style="6" customWidth="1"/>
    <col min="12549" max="12549" width="47.5" style="6" customWidth="1"/>
    <col min="12550" max="12550" width="5" style="6" customWidth="1"/>
    <col min="12551" max="12800" width="7.75" style="6"/>
    <col min="12801" max="12801" width="16.375" style="6" customWidth="1"/>
    <col min="12802" max="12802" width="21.5" style="6" customWidth="1"/>
    <col min="12803" max="12804" width="28.5" style="6" customWidth="1"/>
    <col min="12805" max="12805" width="47.5" style="6" customWidth="1"/>
    <col min="12806" max="12806" width="5" style="6" customWidth="1"/>
    <col min="12807" max="13056" width="7.75" style="6"/>
    <col min="13057" max="13057" width="16.375" style="6" customWidth="1"/>
    <col min="13058" max="13058" width="21.5" style="6" customWidth="1"/>
    <col min="13059" max="13060" width="28.5" style="6" customWidth="1"/>
    <col min="13061" max="13061" width="47.5" style="6" customWidth="1"/>
    <col min="13062" max="13062" width="5" style="6" customWidth="1"/>
    <col min="13063" max="13312" width="7.75" style="6"/>
    <col min="13313" max="13313" width="16.375" style="6" customWidth="1"/>
    <col min="13314" max="13314" width="21.5" style="6" customWidth="1"/>
    <col min="13315" max="13316" width="28.5" style="6" customWidth="1"/>
    <col min="13317" max="13317" width="47.5" style="6" customWidth="1"/>
    <col min="13318" max="13318" width="5" style="6" customWidth="1"/>
    <col min="13319" max="13568" width="7.75" style="6"/>
    <col min="13569" max="13569" width="16.375" style="6" customWidth="1"/>
    <col min="13570" max="13570" width="21.5" style="6" customWidth="1"/>
    <col min="13571" max="13572" width="28.5" style="6" customWidth="1"/>
    <col min="13573" max="13573" width="47.5" style="6" customWidth="1"/>
    <col min="13574" max="13574" width="5" style="6" customWidth="1"/>
    <col min="13575" max="13824" width="7.75" style="6"/>
    <col min="13825" max="13825" width="16.375" style="6" customWidth="1"/>
    <col min="13826" max="13826" width="21.5" style="6" customWidth="1"/>
    <col min="13827" max="13828" width="28.5" style="6" customWidth="1"/>
    <col min="13829" max="13829" width="47.5" style="6" customWidth="1"/>
    <col min="13830" max="13830" width="5" style="6" customWidth="1"/>
    <col min="13831" max="14080" width="7.75" style="6"/>
    <col min="14081" max="14081" width="16.375" style="6" customWidth="1"/>
    <col min="14082" max="14082" width="21.5" style="6" customWidth="1"/>
    <col min="14083" max="14084" width="28.5" style="6" customWidth="1"/>
    <col min="14085" max="14085" width="47.5" style="6" customWidth="1"/>
    <col min="14086" max="14086" width="5" style="6" customWidth="1"/>
    <col min="14087" max="14336" width="7.75" style="6"/>
    <col min="14337" max="14337" width="16.375" style="6" customWidth="1"/>
    <col min="14338" max="14338" width="21.5" style="6" customWidth="1"/>
    <col min="14339" max="14340" width="28.5" style="6" customWidth="1"/>
    <col min="14341" max="14341" width="47.5" style="6" customWidth="1"/>
    <col min="14342" max="14342" width="5" style="6" customWidth="1"/>
    <col min="14343" max="14592" width="7.75" style="6"/>
    <col min="14593" max="14593" width="16.375" style="6" customWidth="1"/>
    <col min="14594" max="14594" width="21.5" style="6" customWidth="1"/>
    <col min="14595" max="14596" width="28.5" style="6" customWidth="1"/>
    <col min="14597" max="14597" width="47.5" style="6" customWidth="1"/>
    <col min="14598" max="14598" width="5" style="6" customWidth="1"/>
    <col min="14599" max="14848" width="7.75" style="6"/>
    <col min="14849" max="14849" width="16.375" style="6" customWidth="1"/>
    <col min="14850" max="14850" width="21.5" style="6" customWidth="1"/>
    <col min="14851" max="14852" width="28.5" style="6" customWidth="1"/>
    <col min="14853" max="14853" width="47.5" style="6" customWidth="1"/>
    <col min="14854" max="14854" width="5" style="6" customWidth="1"/>
    <col min="14855" max="15104" width="7.75" style="6"/>
    <col min="15105" max="15105" width="16.375" style="6" customWidth="1"/>
    <col min="15106" max="15106" width="21.5" style="6" customWidth="1"/>
    <col min="15107" max="15108" width="28.5" style="6" customWidth="1"/>
    <col min="15109" max="15109" width="47.5" style="6" customWidth="1"/>
    <col min="15110" max="15110" width="5" style="6" customWidth="1"/>
    <col min="15111" max="15360" width="7.75" style="6"/>
    <col min="15361" max="15361" width="16.375" style="6" customWidth="1"/>
    <col min="15362" max="15362" width="21.5" style="6" customWidth="1"/>
    <col min="15363" max="15364" width="28.5" style="6" customWidth="1"/>
    <col min="15365" max="15365" width="47.5" style="6" customWidth="1"/>
    <col min="15366" max="15366" width="5" style="6" customWidth="1"/>
    <col min="15367" max="15616" width="7.75" style="6"/>
    <col min="15617" max="15617" width="16.375" style="6" customWidth="1"/>
    <col min="15618" max="15618" width="21.5" style="6" customWidth="1"/>
    <col min="15619" max="15620" width="28.5" style="6" customWidth="1"/>
    <col min="15621" max="15621" width="47.5" style="6" customWidth="1"/>
    <col min="15622" max="15622" width="5" style="6" customWidth="1"/>
    <col min="15623" max="15872" width="7.75" style="6"/>
    <col min="15873" max="15873" width="16.375" style="6" customWidth="1"/>
    <col min="15874" max="15874" width="21.5" style="6" customWidth="1"/>
    <col min="15875" max="15876" width="28.5" style="6" customWidth="1"/>
    <col min="15877" max="15877" width="47.5" style="6" customWidth="1"/>
    <col min="15878" max="15878" width="5" style="6" customWidth="1"/>
    <col min="15879" max="16128" width="7.75" style="6"/>
    <col min="16129" max="16129" width="16.375" style="6" customWidth="1"/>
    <col min="16130" max="16130" width="21.5" style="6" customWidth="1"/>
    <col min="16131" max="16132" width="28.5" style="6" customWidth="1"/>
    <col min="16133" max="16133" width="47.5" style="6" customWidth="1"/>
    <col min="16134" max="16134" width="5" style="6" customWidth="1"/>
    <col min="16135" max="16384" width="7.75" style="6"/>
  </cols>
  <sheetData>
    <row r="1" spans="1:6" ht="20.45" customHeight="1" x14ac:dyDescent="0.2">
      <c r="A1" s="317" t="s">
        <v>33</v>
      </c>
      <c r="B1" s="317"/>
      <c r="C1" s="317"/>
      <c r="D1" s="317"/>
      <c r="E1" s="317"/>
      <c r="F1" s="317"/>
    </row>
    <row r="2" spans="1:6" ht="20.25" x14ac:dyDescent="0.2">
      <c r="A2" s="317" t="s">
        <v>27</v>
      </c>
      <c r="B2" s="317"/>
      <c r="C2" s="317"/>
      <c r="D2" s="317"/>
      <c r="E2" s="317"/>
      <c r="F2" s="317"/>
    </row>
    <row r="3" spans="1:6" ht="20.25" x14ac:dyDescent="0.2">
      <c r="A3" s="317" t="s">
        <v>34</v>
      </c>
      <c r="B3" s="317"/>
      <c r="C3" s="317"/>
      <c r="D3" s="317"/>
      <c r="E3" s="317"/>
      <c r="F3" s="317"/>
    </row>
    <row r="4" spans="1:6" ht="11.45" customHeight="1" x14ac:dyDescent="0.2">
      <c r="A4" s="7"/>
      <c r="B4" s="7"/>
      <c r="C4" s="7"/>
      <c r="D4" s="7"/>
      <c r="E4" s="7"/>
      <c r="F4" s="8"/>
    </row>
    <row r="5" spans="1:6" ht="20.25" customHeight="1" x14ac:dyDescent="0.2">
      <c r="A5" s="35" t="s">
        <v>28</v>
      </c>
      <c r="B5" s="7"/>
      <c r="C5" s="7"/>
      <c r="D5" s="7"/>
      <c r="E5" s="7"/>
      <c r="F5" s="8"/>
    </row>
    <row r="6" spans="1:6" ht="10.5" customHeight="1" x14ac:dyDescent="0.2"/>
    <row r="7" spans="1:6" ht="72.75" customHeight="1" x14ac:dyDescent="0.2">
      <c r="A7" s="36" t="s">
        <v>0</v>
      </c>
      <c r="B7" s="37" t="s">
        <v>35</v>
      </c>
      <c r="C7" s="37" t="s">
        <v>36</v>
      </c>
      <c r="D7" s="11"/>
    </row>
    <row r="8" spans="1:6" ht="18" x14ac:dyDescent="0.2">
      <c r="A8" s="38" t="s">
        <v>1</v>
      </c>
      <c r="B8" s="14">
        <v>28000</v>
      </c>
      <c r="C8" s="15">
        <v>19040</v>
      </c>
      <c r="D8" s="16"/>
    </row>
    <row r="9" spans="1:6" ht="18" x14ac:dyDescent="0.2">
      <c r="A9" s="38" t="s">
        <v>2</v>
      </c>
      <c r="B9" s="14">
        <v>74708</v>
      </c>
      <c r="C9" s="14">
        <v>50801</v>
      </c>
      <c r="D9" s="17"/>
    </row>
    <row r="10" spans="1:6" ht="18" x14ac:dyDescent="0.2">
      <c r="A10" s="38" t="s">
        <v>3</v>
      </c>
      <c r="B10" s="14">
        <v>228856</v>
      </c>
      <c r="C10" s="14">
        <v>155622</v>
      </c>
      <c r="D10" s="17"/>
    </row>
    <row r="11" spans="1:6" ht="18" x14ac:dyDescent="0.2">
      <c r="A11" s="38" t="s">
        <v>4</v>
      </c>
      <c r="B11" s="14">
        <v>1022</v>
      </c>
      <c r="C11" s="14">
        <v>695</v>
      </c>
      <c r="D11" s="17"/>
    </row>
    <row r="12" spans="1:6" ht="18" x14ac:dyDescent="0.2">
      <c r="A12" s="38" t="s">
        <v>5</v>
      </c>
      <c r="B12" s="14">
        <v>16683</v>
      </c>
      <c r="C12" s="14">
        <v>11344</v>
      </c>
      <c r="D12" s="17"/>
    </row>
    <row r="13" spans="1:6" ht="18" x14ac:dyDescent="0.2">
      <c r="A13" s="38" t="s">
        <v>6</v>
      </c>
      <c r="B13" s="14">
        <v>28737</v>
      </c>
      <c r="C13" s="14">
        <v>19541</v>
      </c>
      <c r="D13" s="17"/>
    </row>
    <row r="14" spans="1:6" ht="18" x14ac:dyDescent="0.2">
      <c r="A14" s="38" t="s">
        <v>7</v>
      </c>
      <c r="B14" s="14">
        <v>10702</v>
      </c>
      <c r="C14" s="14">
        <v>7277</v>
      </c>
      <c r="D14" s="17"/>
    </row>
    <row r="15" spans="1:6" ht="18.75" thickBot="1" x14ac:dyDescent="0.25">
      <c r="A15" s="39" t="s">
        <v>30</v>
      </c>
      <c r="B15" s="19">
        <f>SUM(B8:B14)</f>
        <v>388708</v>
      </c>
      <c r="C15" s="20">
        <f>SUM(C8:C14)</f>
        <v>264320</v>
      </c>
      <c r="D15" s="21"/>
    </row>
    <row r="16" spans="1:6" ht="27.6" customHeight="1" thickTop="1" x14ac:dyDescent="0.2">
      <c r="B16" s="24"/>
    </row>
    <row r="17" spans="1:6" ht="20.25" x14ac:dyDescent="0.2">
      <c r="A17" s="40" t="s">
        <v>37</v>
      </c>
    </row>
    <row r="18" spans="1:6" ht="5.45" customHeight="1" x14ac:dyDescent="0.2"/>
    <row r="19" spans="1:6" ht="71.25" customHeight="1" x14ac:dyDescent="0.2">
      <c r="A19" s="36" t="s">
        <v>0</v>
      </c>
      <c r="B19" s="37" t="s">
        <v>29</v>
      </c>
      <c r="C19" s="37" t="s">
        <v>38</v>
      </c>
      <c r="D19" s="37"/>
      <c r="E19" s="37" t="s">
        <v>39</v>
      </c>
      <c r="F19" s="25"/>
    </row>
    <row r="20" spans="1:6" ht="18" x14ac:dyDescent="0.2">
      <c r="A20" s="38" t="s">
        <v>1</v>
      </c>
      <c r="B20" s="14">
        <v>26501</v>
      </c>
      <c r="C20" s="14">
        <f>+B8-B20</f>
        <v>1499</v>
      </c>
      <c r="D20" s="14"/>
      <c r="E20" s="15">
        <f t="shared" ref="E20:E26" si="0">C20*0.67</f>
        <v>1004.33</v>
      </c>
      <c r="F20" s="41"/>
    </row>
    <row r="21" spans="1:6" ht="18" x14ac:dyDescent="0.2">
      <c r="A21" s="38" t="s">
        <v>2</v>
      </c>
      <c r="B21" s="14">
        <v>65087</v>
      </c>
      <c r="C21" s="14">
        <f t="shared" ref="C21:C26" si="1">+B9-B21</f>
        <v>9621</v>
      </c>
      <c r="D21" s="14"/>
      <c r="E21" s="14">
        <f t="shared" si="0"/>
        <v>6446.0700000000006</v>
      </c>
      <c r="F21" s="29"/>
    </row>
    <row r="22" spans="1:6" ht="18" x14ac:dyDescent="0.2">
      <c r="A22" s="38" t="s">
        <v>3</v>
      </c>
      <c r="B22" s="14">
        <v>223617</v>
      </c>
      <c r="C22" s="14">
        <f t="shared" si="1"/>
        <v>5239</v>
      </c>
      <c r="D22" s="14"/>
      <c r="E22" s="14">
        <f t="shared" si="0"/>
        <v>3510.13</v>
      </c>
      <c r="F22" s="29"/>
    </row>
    <row r="23" spans="1:6" ht="18" x14ac:dyDescent="0.2">
      <c r="A23" s="38" t="s">
        <v>4</v>
      </c>
      <c r="B23" s="14">
        <v>1078</v>
      </c>
      <c r="C23" s="14">
        <f t="shared" si="1"/>
        <v>-56</v>
      </c>
      <c r="D23" s="14"/>
      <c r="E23" s="14">
        <f t="shared" si="0"/>
        <v>-37.520000000000003</v>
      </c>
      <c r="F23" s="29"/>
    </row>
    <row r="24" spans="1:6" ht="18" x14ac:dyDescent="0.2">
      <c r="A24" s="38" t="s">
        <v>5</v>
      </c>
      <c r="B24" s="14">
        <v>16383</v>
      </c>
      <c r="C24" s="14">
        <f t="shared" si="1"/>
        <v>300</v>
      </c>
      <c r="D24" s="14"/>
      <c r="E24" s="14">
        <f t="shared" si="0"/>
        <v>201</v>
      </c>
      <c r="F24" s="29"/>
    </row>
    <row r="25" spans="1:6" ht="18" x14ac:dyDescent="0.2">
      <c r="A25" s="38" t="s">
        <v>6</v>
      </c>
      <c r="B25" s="14">
        <v>26907</v>
      </c>
      <c r="C25" s="14">
        <f t="shared" si="1"/>
        <v>1830</v>
      </c>
      <c r="D25" s="14"/>
      <c r="E25" s="14">
        <f t="shared" si="0"/>
        <v>1226.1000000000001</v>
      </c>
      <c r="F25" s="29"/>
    </row>
    <row r="26" spans="1:6" ht="18" x14ac:dyDescent="0.2">
      <c r="A26" s="38" t="s">
        <v>7</v>
      </c>
      <c r="B26" s="14">
        <v>10565</v>
      </c>
      <c r="C26" s="14">
        <f t="shared" si="1"/>
        <v>137</v>
      </c>
      <c r="D26" s="14"/>
      <c r="E26" s="14">
        <f t="shared" si="0"/>
        <v>91.79</v>
      </c>
      <c r="F26" s="29"/>
    </row>
    <row r="27" spans="1:6" s="33" customFormat="1" ht="18.75" thickBot="1" x14ac:dyDescent="0.25">
      <c r="A27" s="39" t="s">
        <v>30</v>
      </c>
      <c r="B27" s="19">
        <f>SUM(B20:B26)</f>
        <v>370138</v>
      </c>
      <c r="C27" s="19">
        <f>B27-B15</f>
        <v>-18570</v>
      </c>
      <c r="D27" s="19"/>
      <c r="E27" s="20">
        <f>SUM(E20:E26)</f>
        <v>12441.900000000001</v>
      </c>
      <c r="F27" s="32"/>
    </row>
    <row r="28" spans="1:6" ht="13.5" thickTop="1" x14ac:dyDescent="0.2"/>
  </sheetData>
  <mergeCells count="3">
    <mergeCell ref="A1:F1"/>
    <mergeCell ref="A2:F2"/>
    <mergeCell ref="A3:F3"/>
  </mergeCells>
  <printOptions horizontalCentered="1" verticalCentered="1"/>
  <pageMargins left="0.5" right="0.5" top="0.5" bottom="0.5" header="0" footer="0"/>
  <pageSetup scale="93" orientation="landscape" horizontalDpi="300" verticalDpi="300" r:id="rId1"/>
  <headerFooter alignWithMargins="0">
    <oddFooter>&amp;L&amp;8&amp;Z&amp;F&amp;A&amp;R&amp;D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A55BCF755A6D4E8ACA25E4E640D8AC" ma:contentTypeVersion="" ma:contentTypeDescription="Create a new document." ma:contentTypeScope="" ma:versionID="1bd58c39ea7d77950b78dad74625a3a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764964-EB2F-405F-BACE-6FC302D234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418CF3-52F5-42CA-A120-C5B18DD067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F4B72B2-381F-4F49-9672-7D8655B8E356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21" baseType="lpstr">
      <vt:lpstr>FY 16-17 $0.78</vt:lpstr>
      <vt:lpstr>FY 17-18 $0.90</vt:lpstr>
      <vt:lpstr>Table</vt:lpstr>
      <vt:lpstr>New Style B</vt:lpstr>
      <vt:lpstr>Old Style</vt:lpstr>
      <vt:lpstr>Data CA</vt:lpstr>
      <vt:lpstr>Data</vt:lpstr>
      <vt:lpstr>2014-15</vt:lpstr>
      <vt:lpstr>Chart1 CA</vt:lpstr>
      <vt:lpstr>Chart2 CA</vt:lpstr>
      <vt:lpstr>Chart1 CA (2)</vt:lpstr>
      <vt:lpstr>Chart2 CA (2)</vt:lpstr>
      <vt:lpstr>Chart1</vt:lpstr>
      <vt:lpstr>Chart2</vt:lpstr>
      <vt:lpstr>Data!Print_Area</vt:lpstr>
      <vt:lpstr>'Data CA'!Print_Area</vt:lpstr>
      <vt:lpstr>'FY 16-17 $0.78'!Print_Area</vt:lpstr>
      <vt:lpstr>'FY 17-18 $0.90'!Print_Area</vt:lpstr>
      <vt:lpstr>'New Style B'!Print_Area</vt:lpstr>
      <vt:lpstr>'Old Style'!Print_Area</vt:lpstr>
      <vt:lpstr>Table!Print_Area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Selland</dc:creator>
  <cp:lastModifiedBy>Mike Selland</cp:lastModifiedBy>
  <cp:lastPrinted>2017-12-05T23:45:33Z</cp:lastPrinted>
  <dcterms:created xsi:type="dcterms:W3CDTF">2015-12-15T20:31:38Z</dcterms:created>
  <dcterms:modified xsi:type="dcterms:W3CDTF">2017-12-05T23:45:36Z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0x01010052A55BCF755A6D4E8ACA25E4E640D8AC</vt:lpwstr>
  </property>
</Properties>
</file>